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showInkAnnotation="0"/>
  <mc:AlternateContent xmlns:mc="http://schemas.openxmlformats.org/markup-compatibility/2006">
    <mc:Choice Requires="x15">
      <x15ac:absPath xmlns:x15ac="http://schemas.microsoft.com/office/spreadsheetml/2010/11/ac" url="/Users/RobertoValencia/Documents/INSTITUTO TECNOLOGICO DE DURANGO/2017/PROYECTO SENER CONACYT 2014/REPORTE FINAL PROYECTO/ARCHIVOS EXCELL/"/>
    </mc:Choice>
  </mc:AlternateContent>
  <xr:revisionPtr revIDLastSave="0" documentId="13_ncr:1_{36E07900-A7D1-9A4C-87AC-21B540930743}" xr6:coauthVersionLast="47" xr6:coauthVersionMax="47" xr10:uidLastSave="{00000000-0000-0000-0000-000000000000}"/>
  <bookViews>
    <workbookView xWindow="25780" yWindow="460" windowWidth="27140" windowHeight="14900" tabRatio="500" activeTab="1" xr2:uid="{00000000-000D-0000-FFFF-FFFF00000000}"/>
  </bookViews>
  <sheets>
    <sheet name="NOTAS" sheetId="11" r:id="rId1"/>
    <sheet name="pH" sheetId="2" r:id="rId2"/>
    <sheet name="Temperatura" sheetId="1" r:id="rId3"/>
    <sheet name="Conductividad " sheetId="3" r:id="rId4"/>
    <sheet name="REDOX" sheetId="4" r:id="rId5"/>
    <sheet name="Alcalinidad Total" sheetId="7" r:id="rId6"/>
    <sheet name="Biogás" sheetId="5" r:id="rId7"/>
    <sheet name="Coliformes" sheetId="8" r:id="rId8"/>
    <sheet name="I.G." sheetId="9" r:id="rId9"/>
    <sheet name="ST, SV" sheetId="10" r:id="rId10"/>
  </sheets>
  <externalReferences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C14" i="4"/>
  <c r="D14" i="4"/>
  <c r="E14" i="4"/>
  <c r="F14" i="4"/>
  <c r="G14" i="4"/>
  <c r="B14" i="4"/>
  <c r="B13" i="4"/>
  <c r="C7" i="4"/>
  <c r="D7" i="4"/>
  <c r="E7" i="4"/>
  <c r="F7" i="4"/>
  <c r="G7" i="4"/>
  <c r="C8" i="4"/>
  <c r="D8" i="4"/>
  <c r="E8" i="4"/>
  <c r="F8" i="4"/>
  <c r="G8" i="4"/>
  <c r="B8" i="4"/>
  <c r="B7" i="4"/>
  <c r="C12" i="3"/>
  <c r="D12" i="3"/>
  <c r="E12" i="3"/>
  <c r="F12" i="3"/>
  <c r="G12" i="3"/>
  <c r="C13" i="3"/>
  <c r="D13" i="3"/>
  <c r="E13" i="3"/>
  <c r="F13" i="3"/>
  <c r="G13" i="3"/>
  <c r="B13" i="3"/>
  <c r="B12" i="3"/>
  <c r="C6" i="3"/>
  <c r="D6" i="3"/>
  <c r="E6" i="3"/>
  <c r="F6" i="3"/>
  <c r="G6" i="3"/>
  <c r="C7" i="3"/>
  <c r="D7" i="3"/>
  <c r="E7" i="3"/>
  <c r="F7" i="3"/>
  <c r="G7" i="3"/>
  <c r="B7" i="3"/>
  <c r="B6" i="3"/>
  <c r="C12" i="2"/>
  <c r="D12" i="2"/>
  <c r="E12" i="2"/>
  <c r="F12" i="2"/>
  <c r="G12" i="2"/>
  <c r="C13" i="2"/>
  <c r="D13" i="2"/>
  <c r="E13" i="2"/>
  <c r="F13" i="2"/>
  <c r="G13" i="2"/>
  <c r="B13" i="2"/>
  <c r="B12" i="2"/>
  <c r="F6" i="2"/>
  <c r="G6" i="2"/>
  <c r="F7" i="2"/>
  <c r="G7" i="2"/>
  <c r="C6" i="2"/>
  <c r="D6" i="2"/>
  <c r="E6" i="2"/>
  <c r="C7" i="2"/>
  <c r="D7" i="2"/>
  <c r="E7" i="2"/>
  <c r="B7" i="2"/>
  <c r="B6" i="2"/>
  <c r="C14" i="5"/>
  <c r="D14" i="5"/>
  <c r="E14" i="5"/>
  <c r="B14" i="5"/>
  <c r="C13" i="5"/>
  <c r="D13" i="5"/>
  <c r="E13" i="5"/>
  <c r="B13" i="5"/>
  <c r="C8" i="5"/>
  <c r="D8" i="5"/>
  <c r="E8" i="5"/>
  <c r="B8" i="5"/>
  <c r="D7" i="5"/>
  <c r="E7" i="5"/>
  <c r="C7" i="5"/>
  <c r="B7" i="5"/>
  <c r="E16" i="1"/>
  <c r="D16" i="1"/>
  <c r="C16" i="1"/>
  <c r="B16" i="1"/>
  <c r="E15" i="1"/>
  <c r="D15" i="1"/>
  <c r="C15" i="1"/>
  <c r="B15" i="1"/>
  <c r="E10" i="1"/>
  <c r="D10" i="1"/>
  <c r="C10" i="1"/>
  <c r="B10" i="1"/>
  <c r="E9" i="1"/>
  <c r="D9" i="1"/>
  <c r="C9" i="1"/>
  <c r="B9" i="1"/>
  <c r="E4" i="1"/>
  <c r="D4" i="1"/>
  <c r="C4" i="1"/>
  <c r="B4" i="1"/>
  <c r="E3" i="1" l="1"/>
  <c r="D3" i="1"/>
  <c r="C3" i="1"/>
  <c r="B3" i="1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K20" i="5"/>
  <c r="J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20" i="5"/>
  <c r="S20" i="5"/>
  <c r="G43" i="10"/>
  <c r="G44" i="10"/>
  <c r="G45" i="10"/>
  <c r="G46" i="10"/>
  <c r="G47" i="10"/>
  <c r="G42" i="10"/>
  <c r="G30" i="10"/>
  <c r="G31" i="10"/>
  <c r="G32" i="10"/>
  <c r="G33" i="10"/>
  <c r="G34" i="10"/>
  <c r="G29" i="10"/>
  <c r="G18" i="10"/>
  <c r="G19" i="10"/>
  <c r="G20" i="10"/>
  <c r="G21" i="10"/>
  <c r="G22" i="10"/>
  <c r="G17" i="10"/>
  <c r="G5" i="10"/>
  <c r="G6" i="10"/>
  <c r="G7" i="10"/>
  <c r="G8" i="10"/>
  <c r="G9" i="10"/>
  <c r="G4" i="10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D47" i="3"/>
  <c r="E47" i="3"/>
  <c r="F47" i="3"/>
  <c r="G47" i="3"/>
  <c r="D46" i="3"/>
  <c r="E46" i="3"/>
  <c r="F46" i="3"/>
  <c r="G46" i="3"/>
  <c r="C47" i="3"/>
  <c r="C46" i="3"/>
  <c r="B47" i="3"/>
  <c r="B46" i="3"/>
  <c r="M47" i="3"/>
  <c r="N47" i="3"/>
  <c r="O47" i="3"/>
  <c r="P47" i="3"/>
  <c r="M46" i="3"/>
  <c r="N46" i="3"/>
  <c r="O46" i="3"/>
  <c r="P46" i="3"/>
  <c r="L47" i="3"/>
  <c r="L46" i="3"/>
  <c r="K47" i="3"/>
  <c r="K46" i="3"/>
  <c r="P47" i="2"/>
  <c r="K47" i="2"/>
  <c r="L47" i="2"/>
  <c r="Q47" i="2" s="1"/>
  <c r="R47" i="2" s="1"/>
  <c r="M47" i="2"/>
  <c r="N47" i="2"/>
  <c r="O46" i="2"/>
  <c r="R46" i="2" s="1"/>
  <c r="P46" i="2"/>
  <c r="K46" i="2"/>
  <c r="L46" i="2"/>
  <c r="M46" i="2"/>
  <c r="N46" i="2"/>
  <c r="Q46" i="2"/>
  <c r="G47" i="2"/>
  <c r="B47" i="2"/>
  <c r="C47" i="2"/>
  <c r="H47" i="2" s="1"/>
  <c r="D47" i="2"/>
  <c r="E47" i="2"/>
  <c r="F46" i="2"/>
  <c r="I46" i="2" s="1"/>
  <c r="G46" i="2"/>
  <c r="B46" i="2"/>
  <c r="C46" i="2"/>
  <c r="H46" i="2" s="1"/>
  <c r="D46" i="2"/>
  <c r="E46" i="2"/>
  <c r="B47" i="1"/>
  <c r="G47" i="1"/>
  <c r="B48" i="1" s="1"/>
  <c r="L47" i="1"/>
  <c r="B49" i="1"/>
  <c r="Q47" i="1"/>
  <c r="B50" i="1" s="1"/>
  <c r="V47" i="1"/>
  <c r="B51" i="1"/>
  <c r="AA47" i="1"/>
  <c r="B52" i="1" s="1"/>
  <c r="D47" i="1"/>
  <c r="I47" i="1"/>
  <c r="D48" i="1" s="1"/>
  <c r="N47" i="1"/>
  <c r="D49" i="1"/>
  <c r="S47" i="1"/>
  <c r="D50" i="1" s="1"/>
  <c r="E50" i="1" s="1"/>
  <c r="X47" i="1"/>
  <c r="D51" i="1"/>
  <c r="AC47" i="1"/>
  <c r="D52" i="1" s="1"/>
  <c r="C47" i="1"/>
  <c r="H47" i="1"/>
  <c r="C48" i="1" s="1"/>
  <c r="M47" i="1"/>
  <c r="C49" i="1"/>
  <c r="R47" i="1"/>
  <c r="C50" i="1" s="1"/>
  <c r="W47" i="1"/>
  <c r="C51" i="1"/>
  <c r="AB47" i="1"/>
  <c r="C52" i="1" s="1"/>
  <c r="C58" i="1"/>
  <c r="C64" i="1" s="1"/>
  <c r="C59" i="1"/>
  <c r="C60" i="1"/>
  <c r="C61" i="1"/>
  <c r="C62" i="1"/>
  <c r="C63" i="1"/>
  <c r="D58" i="1"/>
  <c r="D59" i="1"/>
  <c r="D64" i="1" s="1"/>
  <c r="D60" i="1"/>
  <c r="D61" i="1"/>
  <c r="D62" i="1"/>
  <c r="D63" i="1"/>
  <c r="B58" i="1"/>
  <c r="B59" i="1"/>
  <c r="B60" i="1"/>
  <c r="B61" i="1"/>
  <c r="B62" i="1"/>
  <c r="B63" i="1"/>
  <c r="B64" i="1"/>
  <c r="O47" i="2"/>
  <c r="F47" i="2"/>
  <c r="M37" i="4"/>
  <c r="K47" i="4"/>
  <c r="B47" i="4"/>
  <c r="Q45" i="5"/>
  <c r="R45" i="5"/>
  <c r="I47" i="5"/>
  <c r="F45" i="5"/>
  <c r="G45" i="5"/>
  <c r="I46" i="5"/>
  <c r="M45" i="5"/>
  <c r="N45" i="5"/>
  <c r="O45" i="5"/>
  <c r="P45" i="5"/>
  <c r="H47" i="5"/>
  <c r="E45" i="5"/>
  <c r="B45" i="5"/>
  <c r="C45" i="5"/>
  <c r="H46" i="5" s="1"/>
  <c r="D45" i="5"/>
  <c r="AA53" i="5"/>
  <c r="AB53" i="5"/>
  <c r="AA54" i="5"/>
  <c r="AB54" i="5" s="1"/>
  <c r="AB55" i="5" s="1"/>
  <c r="AA55" i="5"/>
  <c r="AA56" i="5"/>
  <c r="AB56" i="5" s="1"/>
  <c r="AB57" i="5" s="1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D54" i="5"/>
  <c r="AE54" i="5" s="1"/>
  <c r="AE55" i="5" s="1"/>
  <c r="AD53" i="5"/>
  <c r="AD77" i="5" s="1"/>
  <c r="AE53" i="5"/>
  <c r="AD55" i="5"/>
  <c r="AD56" i="5"/>
  <c r="AE56" i="5" s="1"/>
  <c r="AE57" i="5" s="1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A77" i="5"/>
  <c r="V75" i="5"/>
  <c r="V53" i="5"/>
  <c r="V52" i="5"/>
  <c r="B48" i="4"/>
  <c r="K48" i="4"/>
  <c r="E7" i="7"/>
  <c r="E100" i="5"/>
  <c r="E101" i="5"/>
  <c r="E102" i="5"/>
  <c r="E103" i="5"/>
  <c r="E80" i="5"/>
  <c r="E81" i="5"/>
  <c r="E104" i="5" s="1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F80" i="5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W51" i="5"/>
  <c r="W52" i="5" s="1"/>
  <c r="W53" i="5" s="1"/>
  <c r="W54" i="5" s="1"/>
  <c r="W55" i="5" s="1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V54" i="5"/>
  <c r="V55" i="5"/>
  <c r="V76" i="5" s="1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Q68" i="5"/>
  <c r="S68" i="5"/>
  <c r="S69" i="5" s="1"/>
  <c r="S70" i="5" s="1"/>
  <c r="S71" i="5" s="1"/>
  <c r="S72" i="5" s="1"/>
  <c r="S73" i="5" s="1"/>
  <c r="S74" i="5" s="1"/>
  <c r="S75" i="5" s="1"/>
  <c r="Q69" i="5"/>
  <c r="Q70" i="5"/>
  <c r="Q72" i="5"/>
  <c r="Q73" i="5"/>
  <c r="Q74" i="5"/>
  <c r="Q75" i="5"/>
  <c r="Q71" i="5"/>
  <c r="I66" i="5"/>
  <c r="I63" i="5"/>
  <c r="I57" i="5"/>
  <c r="I54" i="5"/>
  <c r="I53" i="5"/>
  <c r="H52" i="5"/>
  <c r="T66" i="5"/>
  <c r="T67" i="5" s="1"/>
  <c r="T68" i="5" s="1"/>
  <c r="T69" i="5" s="1"/>
  <c r="T70" i="5" s="1"/>
  <c r="T71" i="5" s="1"/>
  <c r="T72" i="5" s="1"/>
  <c r="T73" i="5" s="1"/>
  <c r="T74" i="5" s="1"/>
  <c r="T75" i="5" s="1"/>
  <c r="R67" i="5"/>
  <c r="R69" i="5"/>
  <c r="R71" i="5"/>
  <c r="R72" i="5"/>
  <c r="R73" i="5"/>
  <c r="R74" i="5"/>
  <c r="R75" i="5"/>
  <c r="T65" i="5"/>
  <c r="R61" i="5"/>
  <c r="T61" i="5"/>
  <c r="T62" i="5" s="1"/>
  <c r="T63" i="5" s="1"/>
  <c r="R62" i="5"/>
  <c r="R63" i="5"/>
  <c r="T53" i="5"/>
  <c r="Q63" i="5"/>
  <c r="S63" i="5" s="1"/>
  <c r="S54" i="5"/>
  <c r="S55" i="5" s="1"/>
  <c r="S56" i="5" s="1"/>
  <c r="S57" i="5" s="1"/>
  <c r="S58" i="5" s="1"/>
  <c r="Q57" i="5"/>
  <c r="Q58" i="5"/>
  <c r="R52" i="5"/>
  <c r="R53" i="5"/>
  <c r="R76" i="5" s="1"/>
  <c r="R55" i="5"/>
  <c r="R57" i="5"/>
  <c r="R59" i="5"/>
  <c r="R60" i="5"/>
  <c r="R65" i="5"/>
  <c r="R66" i="5"/>
  <c r="Q67" i="5"/>
  <c r="Q76" i="5"/>
  <c r="G76" i="5"/>
  <c r="F76" i="5"/>
  <c r="A58" i="5"/>
  <c r="E76" i="5"/>
  <c r="D76" i="5"/>
  <c r="D14" i="8"/>
  <c r="D13" i="8"/>
  <c r="D8" i="8"/>
  <c r="D7" i="8"/>
  <c r="D13" i="7"/>
  <c r="D12" i="7"/>
  <c r="D7" i="7"/>
  <c r="D6" i="7"/>
  <c r="N14" i="5"/>
  <c r="N13" i="5"/>
  <c r="N8" i="5"/>
  <c r="N7" i="5"/>
  <c r="E14" i="8"/>
  <c r="E13" i="8"/>
  <c r="E8" i="8"/>
  <c r="E7" i="8"/>
  <c r="O14" i="5"/>
  <c r="O13" i="5"/>
  <c r="O8" i="5"/>
  <c r="O7" i="5"/>
  <c r="C53" i="1" l="1"/>
  <c r="D53" i="1"/>
  <c r="B53" i="1"/>
  <c r="AE58" i="5"/>
  <c r="AE59" i="5" s="1"/>
  <c r="AE60" i="5" s="1"/>
  <c r="AE61" i="5" s="1"/>
  <c r="AE62" i="5" s="1"/>
  <c r="AE63" i="5" s="1"/>
  <c r="AE64" i="5" s="1"/>
  <c r="AE65" i="5" s="1"/>
  <c r="AE66" i="5" s="1"/>
  <c r="AE67" i="5" s="1"/>
  <c r="AE68" i="5" s="1"/>
  <c r="AE69" i="5" s="1"/>
  <c r="AE70" i="5" s="1"/>
  <c r="AE71" i="5" s="1"/>
  <c r="AE72" i="5" s="1"/>
  <c r="AE73" i="5" s="1"/>
  <c r="AE74" i="5" s="1"/>
  <c r="AE75" i="5" s="1"/>
  <c r="AE76" i="5" s="1"/>
  <c r="AB58" i="5"/>
  <c r="AB59" i="5" s="1"/>
  <c r="AB60" i="5" s="1"/>
  <c r="AB61" i="5" s="1"/>
  <c r="AB62" i="5" s="1"/>
  <c r="AB63" i="5" s="1"/>
  <c r="AB64" i="5" s="1"/>
  <c r="AB65" i="5" s="1"/>
  <c r="AB66" i="5" s="1"/>
  <c r="AB67" i="5" s="1"/>
  <c r="AB68" i="5" s="1"/>
  <c r="AB69" i="5" s="1"/>
  <c r="AB70" i="5" s="1"/>
  <c r="AB71" i="5" s="1"/>
  <c r="AB72" i="5" s="1"/>
  <c r="AB73" i="5" s="1"/>
  <c r="AB74" i="5" s="1"/>
  <c r="AB75" i="5" s="1"/>
  <c r="AB76" i="5" s="1"/>
  <c r="I47" i="2"/>
</calcChain>
</file>

<file path=xl/sharedStrings.xml><?xml version="1.0" encoding="utf-8"?>
<sst xmlns="http://schemas.openxmlformats.org/spreadsheetml/2006/main" count="388" uniqueCount="77">
  <si>
    <t>TEMPERATURA EXTERNA</t>
  </si>
  <si>
    <t>Corrida 1</t>
  </si>
  <si>
    <t>Corrida 2</t>
  </si>
  <si>
    <t>Corrida 3</t>
  </si>
  <si>
    <t>Corrida 4</t>
  </si>
  <si>
    <t>Promedio</t>
  </si>
  <si>
    <t>Desv. Est.</t>
  </si>
  <si>
    <t>TEMPERATURA INTERNA DIGESTOR SIN SERPENTÍN</t>
  </si>
  <si>
    <t>TEMPERATURA INTERNA DIGESTOR CON SERPENTÍN</t>
  </si>
  <si>
    <t>DIGESTOR SIN SERPENTIN</t>
  </si>
  <si>
    <t>DIGESTOR CON SERPENTIN</t>
  </si>
  <si>
    <t>CALIDAD DE METANO</t>
  </si>
  <si>
    <t>VOLUMEN DE METANO</t>
  </si>
  <si>
    <t>INICIALES</t>
  </si>
  <si>
    <t>FINALES</t>
  </si>
  <si>
    <t xml:space="preserve">Germinación Relativa </t>
  </si>
  <si>
    <t>Crecimiento Radícula</t>
  </si>
  <si>
    <t>Índice de Germinación</t>
  </si>
  <si>
    <t>CORRIDA 3</t>
  </si>
  <si>
    <t>CORRIDA 4</t>
  </si>
  <si>
    <t>PROMEDIO</t>
  </si>
  <si>
    <t>DESV. EST.</t>
  </si>
  <si>
    <t>x</t>
  </si>
  <si>
    <t>CORRIDA 1</t>
  </si>
  <si>
    <t>CORRIDA 2</t>
  </si>
  <si>
    <t>pH</t>
  </si>
  <si>
    <t>DIGESTOR 1</t>
  </si>
  <si>
    <t>DIGESTOR 2</t>
  </si>
  <si>
    <t>c.e</t>
  </si>
  <si>
    <t>CODIGESTION</t>
  </si>
  <si>
    <t>CO-DIGESTION</t>
  </si>
  <si>
    <t>CORRIDA 5</t>
  </si>
  <si>
    <t>Corrida 5</t>
  </si>
  <si>
    <t>SOLIDOS VOLATILES %</t>
  </si>
  <si>
    <t>DIGESTOR CON SERPENTÍN</t>
  </si>
  <si>
    <t>SOLIDOS TOTALES %</t>
  </si>
  <si>
    <t>DIGESTOR SIN SERPENTÍN</t>
  </si>
  <si>
    <t>SOLIDOS TOTALES g/L</t>
  </si>
  <si>
    <t>SOLIDOS VOLÁTILES g/L</t>
  </si>
  <si>
    <t>CODIGESTION 2</t>
  </si>
  <si>
    <t>CORRIDA 6</t>
  </si>
  <si>
    <t>CO-DIGESTION2</t>
  </si>
  <si>
    <t>CODIGESTION2</t>
  </si>
  <si>
    <t>codigestion 2</t>
  </si>
  <si>
    <t>dig 1</t>
  </si>
  <si>
    <t>dig 2</t>
  </si>
  <si>
    <t>T EXTERNA</t>
  </si>
  <si>
    <t>TD1</t>
  </si>
  <si>
    <t>TD2</t>
  </si>
  <si>
    <t>promedios</t>
  </si>
  <si>
    <t>desv.estandar</t>
  </si>
  <si>
    <t>promedio</t>
  </si>
  <si>
    <t>PROM 1</t>
  </si>
  <si>
    <t>PROM 2</t>
  </si>
  <si>
    <t>DESVEST 1</t>
  </si>
  <si>
    <t>DESVEST 2</t>
  </si>
  <si>
    <t>DIA</t>
  </si>
  <si>
    <t>Temp exterior</t>
  </si>
  <si>
    <t>Temp interior 1</t>
  </si>
  <si>
    <t>Temp interior 2</t>
  </si>
  <si>
    <t>CODIGESTION 1</t>
  </si>
  <si>
    <t>CODIGSTION 1</t>
  </si>
  <si>
    <t>Experimentos de BMP realizados con:</t>
  </si>
  <si>
    <t>Substrato principal:</t>
  </si>
  <si>
    <t>Lodos gastados de la PTAR</t>
  </si>
  <si>
    <t xml:space="preserve">Cosubstratos: </t>
  </si>
  <si>
    <t>Tiempo duración experimentos</t>
  </si>
  <si>
    <t>Temperaturas de operación:</t>
  </si>
  <si>
    <t>Tiempo de experimentación</t>
  </si>
  <si>
    <t>AUTORES DE LA BASE DE DATOS:</t>
  </si>
  <si>
    <t>USO DE LOS DATOS</t>
  </si>
  <si>
    <t>DAR RECONOCIMIENTO AL CONSEJO NACIONAL DE CIENCIA, HUMANIDADES Y TECNOLOGÍA (CONAHCYT) DE MEXICO</t>
  </si>
  <si>
    <t>25 días por corridas</t>
  </si>
  <si>
    <t>Estiércol vacuno fresco</t>
  </si>
  <si>
    <t>Ambiente</t>
  </si>
  <si>
    <t>12 meses</t>
  </si>
  <si>
    <t>DR. ROBERTO VALENCIA VAZQUEZ; MSA LETICIA DE JESUS VELAZQUEZ CHAVEZ (AHORA DRA.)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</si>
</sst>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4" xfId="0" applyBorder="1"/>
    <xf numFmtId="0" fontId="1" fillId="5" borderId="0" xfId="0" applyFont="1" applyFill="1"/>
    <xf numFmtId="0" fontId="1" fillId="5" borderId="5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0" fillId="0" borderId="7" xfId="0" applyBorder="1"/>
    <xf numFmtId="0" fontId="1" fillId="3" borderId="0" xfId="0" applyFont="1" applyFill="1"/>
    <xf numFmtId="2" fontId="0" fillId="0" borderId="5" xfId="0" applyNumberFormat="1" applyBorder="1"/>
    <xf numFmtId="2" fontId="0" fillId="0" borderId="8" xfId="0" applyNumberFormat="1" applyBorder="1"/>
    <xf numFmtId="11" fontId="0" fillId="0" borderId="5" xfId="0" applyNumberFormat="1" applyBorder="1"/>
    <xf numFmtId="11" fontId="0" fillId="0" borderId="8" xfId="0" applyNumberFormat="1" applyBorder="1"/>
    <xf numFmtId="0" fontId="0" fillId="0" borderId="7" xfId="0" applyBorder="1" applyAlignment="1">
      <alignment horizontal="center"/>
    </xf>
    <xf numFmtId="11" fontId="0" fillId="0" borderId="0" xfId="0" applyNumberFormat="1"/>
    <xf numFmtId="11" fontId="0" fillId="0" borderId="7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2" fontId="0" fillId="0" borderId="0" xfId="0" applyNumberFormat="1"/>
    <xf numFmtId="2" fontId="0" fillId="0" borderId="7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1" fillId="5" borderId="0" xfId="0" applyNumberFormat="1" applyFont="1" applyFill="1"/>
    <xf numFmtId="164" fontId="1" fillId="5" borderId="5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1" fontId="4" fillId="7" borderId="12" xfId="0" applyNumberFormat="1" applyFont="1" applyFill="1" applyBorder="1"/>
    <xf numFmtId="11" fontId="5" fillId="7" borderId="12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65" fontId="0" fillId="0" borderId="0" xfId="0" applyNumberForma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5" xfId="0" applyBorder="1" applyAlignment="1">
      <alignment horizontal="center" vertical="center"/>
    </xf>
    <xf numFmtId="0" fontId="0" fillId="0" borderId="2" xfId="0" applyBorder="1"/>
    <xf numFmtId="0" fontId="1" fillId="5" borderId="7" xfId="0" applyFont="1" applyFill="1" applyBorder="1"/>
    <xf numFmtId="0" fontId="8" fillId="0" borderId="0" xfId="0" applyFont="1"/>
    <xf numFmtId="0" fontId="8" fillId="0" borderId="13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5" borderId="0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1" fillId="9" borderId="0" xfId="0" applyFont="1" applyFill="1"/>
    <xf numFmtId="0" fontId="10" fillId="9" borderId="0" xfId="0" applyFont="1" applyFill="1"/>
    <xf numFmtId="0" fontId="0" fillId="9" borderId="0" xfId="0" applyFill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pH!$A$20:$A$44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pH!$B$20:$B$39</c:f>
              <c:numCache>
                <c:formatCode>General</c:formatCode>
                <c:ptCount val="20"/>
                <c:pt idx="0">
                  <c:v>6.85</c:v>
                </c:pt>
                <c:pt idx="1">
                  <c:v>6.77</c:v>
                </c:pt>
                <c:pt idx="2">
                  <c:v>6.72</c:v>
                </c:pt>
                <c:pt idx="3">
                  <c:v>6.78</c:v>
                </c:pt>
                <c:pt idx="4">
                  <c:v>6.81</c:v>
                </c:pt>
                <c:pt idx="5">
                  <c:v>6.58</c:v>
                </c:pt>
                <c:pt idx="6">
                  <c:v>6.69</c:v>
                </c:pt>
                <c:pt idx="7">
                  <c:v>6.51</c:v>
                </c:pt>
                <c:pt idx="8">
                  <c:v>6.43</c:v>
                </c:pt>
                <c:pt idx="9">
                  <c:v>6.41</c:v>
                </c:pt>
                <c:pt idx="10">
                  <c:v>6.89</c:v>
                </c:pt>
                <c:pt idx="11">
                  <c:v>6.87</c:v>
                </c:pt>
                <c:pt idx="12">
                  <c:v>6.85</c:v>
                </c:pt>
                <c:pt idx="13">
                  <c:v>6.85</c:v>
                </c:pt>
                <c:pt idx="14">
                  <c:v>6.87</c:v>
                </c:pt>
                <c:pt idx="15">
                  <c:v>6.89</c:v>
                </c:pt>
                <c:pt idx="16">
                  <c:v>7.01</c:v>
                </c:pt>
                <c:pt idx="17">
                  <c:v>6.98</c:v>
                </c:pt>
                <c:pt idx="18">
                  <c:v>6.95</c:v>
                </c:pt>
                <c:pt idx="19">
                  <c:v>6.98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AC-48FD-A26E-5F51F703B2C5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pH!$C$20:$C$44</c:f>
              <c:numCache>
                <c:formatCode>General</c:formatCode>
                <c:ptCount val="25"/>
                <c:pt idx="0">
                  <c:v>6.93</c:v>
                </c:pt>
                <c:pt idx="1">
                  <c:v>6.86</c:v>
                </c:pt>
                <c:pt idx="2">
                  <c:v>6.85</c:v>
                </c:pt>
                <c:pt idx="3">
                  <c:v>6.75</c:v>
                </c:pt>
                <c:pt idx="4">
                  <c:v>6.85</c:v>
                </c:pt>
                <c:pt idx="5">
                  <c:v>6.79</c:v>
                </c:pt>
                <c:pt idx="6">
                  <c:v>6.85</c:v>
                </c:pt>
                <c:pt idx="7">
                  <c:v>6.87</c:v>
                </c:pt>
                <c:pt idx="8">
                  <c:v>6.82</c:v>
                </c:pt>
                <c:pt idx="9">
                  <c:v>6.98</c:v>
                </c:pt>
                <c:pt idx="10">
                  <c:v>6.86</c:v>
                </c:pt>
                <c:pt idx="11">
                  <c:v>6.89</c:v>
                </c:pt>
                <c:pt idx="12">
                  <c:v>6.85</c:v>
                </c:pt>
                <c:pt idx="13">
                  <c:v>6.87</c:v>
                </c:pt>
                <c:pt idx="14">
                  <c:v>6.89</c:v>
                </c:pt>
                <c:pt idx="15">
                  <c:v>6.89</c:v>
                </c:pt>
                <c:pt idx="16">
                  <c:v>6.87</c:v>
                </c:pt>
                <c:pt idx="17">
                  <c:v>6.91</c:v>
                </c:pt>
                <c:pt idx="18">
                  <c:v>6.89</c:v>
                </c:pt>
                <c:pt idx="19">
                  <c:v>6.91</c:v>
                </c:pt>
                <c:pt idx="20">
                  <c:v>6.89</c:v>
                </c:pt>
                <c:pt idx="21">
                  <c:v>6.91</c:v>
                </c:pt>
                <c:pt idx="22">
                  <c:v>6.87</c:v>
                </c:pt>
                <c:pt idx="23">
                  <c:v>6.9</c:v>
                </c:pt>
                <c:pt idx="24">
                  <c:v>6.89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AC-48FD-A26E-5F51F703B2C5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pH!$D$20:$D$44</c:f>
              <c:numCache>
                <c:formatCode>General</c:formatCode>
                <c:ptCount val="25"/>
                <c:pt idx="0">
                  <c:v>6.86</c:v>
                </c:pt>
                <c:pt idx="1">
                  <c:v>6.96</c:v>
                </c:pt>
                <c:pt idx="2">
                  <c:v>6.94</c:v>
                </c:pt>
                <c:pt idx="3">
                  <c:v>6.92</c:v>
                </c:pt>
                <c:pt idx="4">
                  <c:v>6.92</c:v>
                </c:pt>
                <c:pt idx="5">
                  <c:v>6.99</c:v>
                </c:pt>
                <c:pt idx="6">
                  <c:v>6.99</c:v>
                </c:pt>
                <c:pt idx="7">
                  <c:v>6.92</c:v>
                </c:pt>
                <c:pt idx="8">
                  <c:v>7.07</c:v>
                </c:pt>
                <c:pt idx="9">
                  <c:v>7.06</c:v>
                </c:pt>
                <c:pt idx="10">
                  <c:v>7.06</c:v>
                </c:pt>
                <c:pt idx="11">
                  <c:v>7.04</c:v>
                </c:pt>
                <c:pt idx="12">
                  <c:v>7.03</c:v>
                </c:pt>
                <c:pt idx="13">
                  <c:v>7.03</c:v>
                </c:pt>
                <c:pt idx="14">
                  <c:v>7.07</c:v>
                </c:pt>
                <c:pt idx="15">
                  <c:v>7.04</c:v>
                </c:pt>
                <c:pt idx="16">
                  <c:v>7.04</c:v>
                </c:pt>
                <c:pt idx="17">
                  <c:v>7.05</c:v>
                </c:pt>
                <c:pt idx="18">
                  <c:v>7.03</c:v>
                </c:pt>
                <c:pt idx="19">
                  <c:v>7.03</c:v>
                </c:pt>
                <c:pt idx="20">
                  <c:v>6.92</c:v>
                </c:pt>
                <c:pt idx="21">
                  <c:v>6.99</c:v>
                </c:pt>
                <c:pt idx="22">
                  <c:v>6.99</c:v>
                </c:pt>
                <c:pt idx="23">
                  <c:v>6.92</c:v>
                </c:pt>
                <c:pt idx="24">
                  <c:v>7.05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4AC-48FD-A26E-5F51F703B2C5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pH!$E$20:$E$44</c:f>
              <c:numCache>
                <c:formatCode>General</c:formatCode>
                <c:ptCount val="25"/>
                <c:pt idx="0">
                  <c:v>7.11</c:v>
                </c:pt>
                <c:pt idx="1">
                  <c:v>6.97</c:v>
                </c:pt>
                <c:pt idx="2">
                  <c:v>6.98</c:v>
                </c:pt>
                <c:pt idx="3">
                  <c:v>7.05</c:v>
                </c:pt>
                <c:pt idx="4">
                  <c:v>6.86</c:v>
                </c:pt>
                <c:pt idx="5">
                  <c:v>6.89</c:v>
                </c:pt>
                <c:pt idx="6">
                  <c:v>7.02</c:v>
                </c:pt>
                <c:pt idx="7">
                  <c:v>6.92</c:v>
                </c:pt>
                <c:pt idx="8">
                  <c:v>6.99</c:v>
                </c:pt>
                <c:pt idx="9">
                  <c:v>7.01</c:v>
                </c:pt>
                <c:pt idx="10">
                  <c:v>6.97</c:v>
                </c:pt>
                <c:pt idx="11">
                  <c:v>6.99</c:v>
                </c:pt>
                <c:pt idx="12">
                  <c:v>7.02</c:v>
                </c:pt>
                <c:pt idx="13">
                  <c:v>6.91</c:v>
                </c:pt>
                <c:pt idx="14">
                  <c:v>7.02</c:v>
                </c:pt>
                <c:pt idx="15">
                  <c:v>7.05</c:v>
                </c:pt>
                <c:pt idx="16">
                  <c:v>6.9</c:v>
                </c:pt>
                <c:pt idx="17">
                  <c:v>7.02</c:v>
                </c:pt>
                <c:pt idx="18">
                  <c:v>6.98</c:v>
                </c:pt>
                <c:pt idx="19">
                  <c:v>7.01</c:v>
                </c:pt>
                <c:pt idx="20">
                  <c:v>6.97</c:v>
                </c:pt>
                <c:pt idx="21">
                  <c:v>7.09</c:v>
                </c:pt>
                <c:pt idx="22">
                  <c:v>7.2</c:v>
                </c:pt>
                <c:pt idx="23">
                  <c:v>6.99</c:v>
                </c:pt>
                <c:pt idx="24">
                  <c:v>7.02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4AC-48FD-A26E-5F51F703B2C5}"/>
            </c:ext>
          </c:extLst>
        </c:ser>
        <c:ser>
          <c:idx val="4"/>
          <c:order val="4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pH!$A$20:$A$44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pH!$F$20:$F$44</c:f>
              <c:numCache>
                <c:formatCode>General</c:formatCode>
                <c:ptCount val="25"/>
                <c:pt idx="0">
                  <c:v>7.15</c:v>
                </c:pt>
                <c:pt idx="1">
                  <c:v>7.03</c:v>
                </c:pt>
                <c:pt idx="2">
                  <c:v>6.89</c:v>
                </c:pt>
                <c:pt idx="3">
                  <c:v>6.89</c:v>
                </c:pt>
                <c:pt idx="4">
                  <c:v>6.9</c:v>
                </c:pt>
                <c:pt idx="5">
                  <c:v>6.94</c:v>
                </c:pt>
                <c:pt idx="6">
                  <c:v>6.99</c:v>
                </c:pt>
                <c:pt idx="7">
                  <c:v>6.86</c:v>
                </c:pt>
                <c:pt idx="8">
                  <c:v>6.84</c:v>
                </c:pt>
                <c:pt idx="9">
                  <c:v>6.9</c:v>
                </c:pt>
                <c:pt idx="10">
                  <c:v>6.9</c:v>
                </c:pt>
                <c:pt idx="11">
                  <c:v>6.86</c:v>
                </c:pt>
                <c:pt idx="12">
                  <c:v>6.9</c:v>
                </c:pt>
                <c:pt idx="13">
                  <c:v>6.9</c:v>
                </c:pt>
                <c:pt idx="14">
                  <c:v>6.89</c:v>
                </c:pt>
                <c:pt idx="15">
                  <c:v>6.85</c:v>
                </c:pt>
                <c:pt idx="16">
                  <c:v>6.9</c:v>
                </c:pt>
                <c:pt idx="17">
                  <c:v>6.9</c:v>
                </c:pt>
                <c:pt idx="18">
                  <c:v>7.01</c:v>
                </c:pt>
                <c:pt idx="19">
                  <c:v>6.97</c:v>
                </c:pt>
                <c:pt idx="20">
                  <c:v>6.89</c:v>
                </c:pt>
                <c:pt idx="21">
                  <c:v>6.86</c:v>
                </c:pt>
                <c:pt idx="22">
                  <c:v>6.98</c:v>
                </c:pt>
                <c:pt idx="23">
                  <c:v>6.87</c:v>
                </c:pt>
                <c:pt idx="24">
                  <c:v>6.99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4AC-48FD-A26E-5F51F703B2C5}"/>
            </c:ext>
          </c:extLst>
        </c:ser>
        <c:ser>
          <c:idx val="5"/>
          <c:order val="5"/>
          <c:tx>
            <c:v>Co-digestión 2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pH!$J$20:$J$44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pH!$G$20:$G$44</c:f>
              <c:numCache>
                <c:formatCode>General</c:formatCode>
                <c:ptCount val="25"/>
                <c:pt idx="0">
                  <c:v>6.94</c:v>
                </c:pt>
                <c:pt idx="1">
                  <c:v>6.92</c:v>
                </c:pt>
                <c:pt idx="2">
                  <c:v>6.9</c:v>
                </c:pt>
                <c:pt idx="3">
                  <c:v>6.92</c:v>
                </c:pt>
                <c:pt idx="4">
                  <c:v>6.89</c:v>
                </c:pt>
                <c:pt idx="5">
                  <c:v>6.87</c:v>
                </c:pt>
                <c:pt idx="6">
                  <c:v>6.87</c:v>
                </c:pt>
                <c:pt idx="7">
                  <c:v>6.85</c:v>
                </c:pt>
                <c:pt idx="8">
                  <c:v>6.83</c:v>
                </c:pt>
                <c:pt idx="9">
                  <c:v>6.8</c:v>
                </c:pt>
                <c:pt idx="10">
                  <c:v>6.75</c:v>
                </c:pt>
                <c:pt idx="11">
                  <c:v>6.7</c:v>
                </c:pt>
                <c:pt idx="12">
                  <c:v>6.78</c:v>
                </c:pt>
                <c:pt idx="13">
                  <c:v>6.76</c:v>
                </c:pt>
                <c:pt idx="14">
                  <c:v>6.78</c:v>
                </c:pt>
                <c:pt idx="15">
                  <c:v>6.75</c:v>
                </c:pt>
                <c:pt idx="16">
                  <c:v>6.76</c:v>
                </c:pt>
                <c:pt idx="17">
                  <c:v>6.79</c:v>
                </c:pt>
                <c:pt idx="18">
                  <c:v>6.74</c:v>
                </c:pt>
                <c:pt idx="19">
                  <c:v>6.72</c:v>
                </c:pt>
                <c:pt idx="20">
                  <c:v>6.74</c:v>
                </c:pt>
                <c:pt idx="21">
                  <c:v>6.76</c:v>
                </c:pt>
                <c:pt idx="22">
                  <c:v>6.75</c:v>
                </c:pt>
                <c:pt idx="23">
                  <c:v>6.74</c:v>
                </c:pt>
                <c:pt idx="24">
                  <c:v>6.79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4AC-48FD-A26E-5F51F703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416496"/>
        <c:axId val="-2134410800"/>
      </c:scatterChart>
      <c:valAx>
        <c:axId val="-2134416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410800"/>
        <c:crosses val="autoZero"/>
        <c:crossBetween val="midCat"/>
      </c:valAx>
      <c:valAx>
        <c:axId val="-2134410800"/>
        <c:scaling>
          <c:orientation val="minMax"/>
          <c:max val="7.5"/>
          <c:min val="6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pH digestor sin serpentín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41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pH!$J$20:$J$44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pH!$K$20:$K$39</c:f>
              <c:numCache>
                <c:formatCode>General</c:formatCode>
                <c:ptCount val="20"/>
                <c:pt idx="0">
                  <c:v>7.04</c:v>
                </c:pt>
                <c:pt idx="1">
                  <c:v>7.02</c:v>
                </c:pt>
                <c:pt idx="2">
                  <c:v>7.2</c:v>
                </c:pt>
                <c:pt idx="3">
                  <c:v>7.12</c:v>
                </c:pt>
                <c:pt idx="4">
                  <c:v>7.02</c:v>
                </c:pt>
                <c:pt idx="5">
                  <c:v>6.87</c:v>
                </c:pt>
                <c:pt idx="6">
                  <c:v>6.89</c:v>
                </c:pt>
                <c:pt idx="7">
                  <c:v>6.81</c:v>
                </c:pt>
                <c:pt idx="8">
                  <c:v>6.74</c:v>
                </c:pt>
                <c:pt idx="9">
                  <c:v>6.69</c:v>
                </c:pt>
                <c:pt idx="10">
                  <c:v>6.63</c:v>
                </c:pt>
                <c:pt idx="11">
                  <c:v>6.85</c:v>
                </c:pt>
                <c:pt idx="12">
                  <c:v>6.82</c:v>
                </c:pt>
                <c:pt idx="13">
                  <c:v>6.83</c:v>
                </c:pt>
                <c:pt idx="14">
                  <c:v>6.83</c:v>
                </c:pt>
                <c:pt idx="15" formatCode="0.00">
                  <c:v>6.9</c:v>
                </c:pt>
                <c:pt idx="16">
                  <c:v>6.87</c:v>
                </c:pt>
                <c:pt idx="17">
                  <c:v>6.86</c:v>
                </c:pt>
                <c:pt idx="18">
                  <c:v>6.87</c:v>
                </c:pt>
                <c:pt idx="19">
                  <c:v>6.84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12-41EF-89A6-1E92B5309C39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pH!$L$20:$L$44</c:f>
              <c:numCache>
                <c:formatCode>General</c:formatCode>
                <c:ptCount val="25"/>
                <c:pt idx="0">
                  <c:v>7.05</c:v>
                </c:pt>
                <c:pt idx="1">
                  <c:v>7.02</c:v>
                </c:pt>
                <c:pt idx="2">
                  <c:v>6.69</c:v>
                </c:pt>
                <c:pt idx="3">
                  <c:v>6.63</c:v>
                </c:pt>
                <c:pt idx="4">
                  <c:v>6.63</c:v>
                </c:pt>
                <c:pt idx="5">
                  <c:v>6.78</c:v>
                </c:pt>
                <c:pt idx="6">
                  <c:v>6.82</c:v>
                </c:pt>
                <c:pt idx="7">
                  <c:v>6.85</c:v>
                </c:pt>
                <c:pt idx="8" formatCode="0.00">
                  <c:v>6.89</c:v>
                </c:pt>
                <c:pt idx="9">
                  <c:v>6.91</c:v>
                </c:pt>
                <c:pt idx="10">
                  <c:v>6.93</c:v>
                </c:pt>
                <c:pt idx="11">
                  <c:v>6.87</c:v>
                </c:pt>
                <c:pt idx="12">
                  <c:v>6.85</c:v>
                </c:pt>
                <c:pt idx="13">
                  <c:v>6.82</c:v>
                </c:pt>
                <c:pt idx="14">
                  <c:v>6.82</c:v>
                </c:pt>
                <c:pt idx="15" formatCode="0.00">
                  <c:v>6.89</c:v>
                </c:pt>
                <c:pt idx="16">
                  <c:v>6.91</c:v>
                </c:pt>
                <c:pt idx="17">
                  <c:v>6.87</c:v>
                </c:pt>
                <c:pt idx="18">
                  <c:v>6.89</c:v>
                </c:pt>
                <c:pt idx="19">
                  <c:v>6.87</c:v>
                </c:pt>
                <c:pt idx="20">
                  <c:v>6.87</c:v>
                </c:pt>
                <c:pt idx="21">
                  <c:v>6.85</c:v>
                </c:pt>
                <c:pt idx="22">
                  <c:v>6.86</c:v>
                </c:pt>
                <c:pt idx="23">
                  <c:v>6.85</c:v>
                </c:pt>
                <c:pt idx="24">
                  <c:v>6.82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12-41EF-89A6-1E92B5309C39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pH!$M$20:$M$44</c:f>
              <c:numCache>
                <c:formatCode>General</c:formatCode>
                <c:ptCount val="25"/>
                <c:pt idx="0">
                  <c:v>6.98</c:v>
                </c:pt>
                <c:pt idx="1">
                  <c:v>7.06</c:v>
                </c:pt>
                <c:pt idx="2">
                  <c:v>6.93</c:v>
                </c:pt>
                <c:pt idx="3">
                  <c:v>6.99</c:v>
                </c:pt>
                <c:pt idx="4">
                  <c:v>6.99</c:v>
                </c:pt>
                <c:pt idx="5">
                  <c:v>6.99</c:v>
                </c:pt>
                <c:pt idx="6">
                  <c:v>7.08</c:v>
                </c:pt>
                <c:pt idx="7">
                  <c:v>7.13</c:v>
                </c:pt>
                <c:pt idx="8">
                  <c:v>7.03</c:v>
                </c:pt>
                <c:pt idx="9">
                  <c:v>7.06</c:v>
                </c:pt>
                <c:pt idx="10">
                  <c:v>7.06</c:v>
                </c:pt>
                <c:pt idx="11">
                  <c:v>7.02</c:v>
                </c:pt>
                <c:pt idx="12">
                  <c:v>7.04</c:v>
                </c:pt>
                <c:pt idx="13">
                  <c:v>7.04</c:v>
                </c:pt>
                <c:pt idx="14">
                  <c:v>7.01</c:v>
                </c:pt>
                <c:pt idx="15">
                  <c:v>7.05</c:v>
                </c:pt>
                <c:pt idx="16">
                  <c:v>7.05</c:v>
                </c:pt>
                <c:pt idx="17">
                  <c:v>7.01</c:v>
                </c:pt>
                <c:pt idx="18">
                  <c:v>6.98</c:v>
                </c:pt>
                <c:pt idx="19">
                  <c:v>6.98</c:v>
                </c:pt>
                <c:pt idx="20">
                  <c:v>6.99</c:v>
                </c:pt>
                <c:pt idx="21">
                  <c:v>7.08</c:v>
                </c:pt>
                <c:pt idx="22">
                  <c:v>7.13</c:v>
                </c:pt>
                <c:pt idx="23">
                  <c:v>7.06</c:v>
                </c:pt>
                <c:pt idx="24">
                  <c:v>7.02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12-41EF-89A6-1E92B5309C39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pH!$N$20:$N$44</c:f>
              <c:numCache>
                <c:formatCode>General</c:formatCode>
                <c:ptCount val="25"/>
                <c:pt idx="0">
                  <c:v>6.75</c:v>
                </c:pt>
                <c:pt idx="1">
                  <c:v>6.9</c:v>
                </c:pt>
                <c:pt idx="2">
                  <c:v>7.01</c:v>
                </c:pt>
                <c:pt idx="3">
                  <c:v>6.61</c:v>
                </c:pt>
                <c:pt idx="4">
                  <c:v>6.85</c:v>
                </c:pt>
                <c:pt idx="5">
                  <c:v>6.98</c:v>
                </c:pt>
                <c:pt idx="6">
                  <c:v>6.95</c:v>
                </c:pt>
                <c:pt idx="7">
                  <c:v>6.87</c:v>
                </c:pt>
                <c:pt idx="8">
                  <c:v>7.01</c:v>
                </c:pt>
                <c:pt idx="9">
                  <c:v>6.92</c:v>
                </c:pt>
                <c:pt idx="10">
                  <c:v>6.97</c:v>
                </c:pt>
                <c:pt idx="11">
                  <c:v>7.03</c:v>
                </c:pt>
                <c:pt idx="12">
                  <c:v>6.95</c:v>
                </c:pt>
                <c:pt idx="13">
                  <c:v>6.93</c:v>
                </c:pt>
                <c:pt idx="14">
                  <c:v>6.91</c:v>
                </c:pt>
                <c:pt idx="15">
                  <c:v>6.9</c:v>
                </c:pt>
                <c:pt idx="16">
                  <c:v>7.01</c:v>
                </c:pt>
                <c:pt idx="17">
                  <c:v>7.01</c:v>
                </c:pt>
                <c:pt idx="18">
                  <c:v>6.98</c:v>
                </c:pt>
                <c:pt idx="19">
                  <c:v>6.97</c:v>
                </c:pt>
                <c:pt idx="20">
                  <c:v>6.89</c:v>
                </c:pt>
                <c:pt idx="21">
                  <c:v>7.01</c:v>
                </c:pt>
                <c:pt idx="22">
                  <c:v>7.04</c:v>
                </c:pt>
                <c:pt idx="23">
                  <c:v>7</c:v>
                </c:pt>
                <c:pt idx="24">
                  <c:v>6.98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112-41EF-89A6-1E92B5309C39}"/>
            </c:ext>
          </c:extLst>
        </c:ser>
        <c:ser>
          <c:idx val="4"/>
          <c:order val="4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pH!$J$20:$J$44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pH!$O$20:$O$44</c:f>
              <c:numCache>
                <c:formatCode>General</c:formatCode>
                <c:ptCount val="25"/>
                <c:pt idx="0">
                  <c:v>7.15</c:v>
                </c:pt>
                <c:pt idx="1">
                  <c:v>6.98</c:v>
                </c:pt>
                <c:pt idx="2">
                  <c:v>6.97</c:v>
                </c:pt>
                <c:pt idx="3">
                  <c:v>6.97</c:v>
                </c:pt>
                <c:pt idx="4">
                  <c:v>7.34</c:v>
                </c:pt>
                <c:pt idx="5">
                  <c:v>6.97</c:v>
                </c:pt>
                <c:pt idx="6">
                  <c:v>6.96</c:v>
                </c:pt>
                <c:pt idx="7">
                  <c:v>6.95</c:v>
                </c:pt>
                <c:pt idx="8">
                  <c:v>6.98</c:v>
                </c:pt>
                <c:pt idx="9">
                  <c:v>7.05</c:v>
                </c:pt>
                <c:pt idx="10">
                  <c:v>7.05</c:v>
                </c:pt>
                <c:pt idx="11">
                  <c:v>6.79</c:v>
                </c:pt>
                <c:pt idx="12">
                  <c:v>6.91</c:v>
                </c:pt>
                <c:pt idx="13">
                  <c:v>7.01</c:v>
                </c:pt>
                <c:pt idx="14">
                  <c:v>6.9</c:v>
                </c:pt>
                <c:pt idx="15">
                  <c:v>6.98</c:v>
                </c:pt>
                <c:pt idx="16">
                  <c:v>6.99</c:v>
                </c:pt>
                <c:pt idx="17">
                  <c:v>6.99</c:v>
                </c:pt>
                <c:pt idx="18">
                  <c:v>6.89</c:v>
                </c:pt>
                <c:pt idx="19">
                  <c:v>6.99</c:v>
                </c:pt>
                <c:pt idx="20">
                  <c:v>7.02</c:v>
                </c:pt>
                <c:pt idx="21">
                  <c:v>6.86</c:v>
                </c:pt>
                <c:pt idx="22">
                  <c:v>6.87</c:v>
                </c:pt>
                <c:pt idx="23">
                  <c:v>6.98</c:v>
                </c:pt>
                <c:pt idx="24">
                  <c:v>6.99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112-41EF-89A6-1E92B5309C39}"/>
            </c:ext>
          </c:extLst>
        </c:ser>
        <c:ser>
          <c:idx val="5"/>
          <c:order val="5"/>
          <c:tx>
            <c:v>Co-digestión 2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pH!$J$20:$J$44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pH!$P$20:$P$44</c:f>
              <c:numCache>
                <c:formatCode>General</c:formatCode>
                <c:ptCount val="25"/>
                <c:pt idx="0">
                  <c:v>6.96</c:v>
                </c:pt>
                <c:pt idx="1">
                  <c:v>6.93</c:v>
                </c:pt>
                <c:pt idx="2">
                  <c:v>6.89</c:v>
                </c:pt>
                <c:pt idx="3">
                  <c:v>6.84</c:v>
                </c:pt>
                <c:pt idx="4">
                  <c:v>6.87</c:v>
                </c:pt>
                <c:pt idx="5">
                  <c:v>6.85</c:v>
                </c:pt>
                <c:pt idx="6">
                  <c:v>6.89</c:v>
                </c:pt>
                <c:pt idx="7">
                  <c:v>6.87</c:v>
                </c:pt>
                <c:pt idx="8">
                  <c:v>6.88</c:v>
                </c:pt>
                <c:pt idx="9">
                  <c:v>6.89</c:v>
                </c:pt>
                <c:pt idx="10">
                  <c:v>6.85</c:v>
                </c:pt>
                <c:pt idx="11">
                  <c:v>6.86</c:v>
                </c:pt>
                <c:pt idx="12">
                  <c:v>6.88</c:v>
                </c:pt>
                <c:pt idx="13">
                  <c:v>6.87</c:v>
                </c:pt>
                <c:pt idx="14">
                  <c:v>6.89</c:v>
                </c:pt>
                <c:pt idx="15">
                  <c:v>6.86</c:v>
                </c:pt>
                <c:pt idx="16">
                  <c:v>6.89</c:v>
                </c:pt>
                <c:pt idx="17">
                  <c:v>6.86</c:v>
                </c:pt>
                <c:pt idx="18">
                  <c:v>6.89</c:v>
                </c:pt>
                <c:pt idx="19">
                  <c:v>6.87</c:v>
                </c:pt>
                <c:pt idx="20">
                  <c:v>6.85</c:v>
                </c:pt>
                <c:pt idx="21">
                  <c:v>6.86</c:v>
                </c:pt>
                <c:pt idx="22">
                  <c:v>6.86</c:v>
                </c:pt>
                <c:pt idx="23">
                  <c:v>6.88</c:v>
                </c:pt>
                <c:pt idx="24">
                  <c:v>6.87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112-41EF-89A6-1E92B5309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323504"/>
        <c:axId val="-2134317632"/>
      </c:scatterChart>
      <c:valAx>
        <c:axId val="-213432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</a:t>
                </a:r>
                <a:r>
                  <a:rPr lang="en-US" baseline="0"/>
                  <a:t> transcurrido (Días)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317632"/>
        <c:crosses val="autoZero"/>
        <c:crossBetween val="midCat"/>
      </c:valAx>
      <c:valAx>
        <c:axId val="-2134317632"/>
        <c:scaling>
          <c:orientation val="minMax"/>
          <c:max val="7.5"/>
          <c:min val="6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pH digestor con serpentín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323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09365233862398E-2"/>
          <c:y val="5.9369952115670303E-2"/>
          <c:w val="0.715084312347393"/>
          <c:h val="0.72642642513057099"/>
        </c:manualLayout>
      </c:layout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Temperatura!$A$20:$A$39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Temperatura!$B$20:$B$39</c:f>
              <c:numCache>
                <c:formatCode>General</c:formatCode>
                <c:ptCount val="20"/>
                <c:pt idx="0">
                  <c:v>28</c:v>
                </c:pt>
                <c:pt idx="1">
                  <c:v>28</c:v>
                </c:pt>
                <c:pt idx="2">
                  <c:v>19</c:v>
                </c:pt>
                <c:pt idx="3">
                  <c:v>25</c:v>
                </c:pt>
                <c:pt idx="4">
                  <c:v>23</c:v>
                </c:pt>
                <c:pt idx="5">
                  <c:v>19</c:v>
                </c:pt>
                <c:pt idx="6">
                  <c:v>19</c:v>
                </c:pt>
                <c:pt idx="7">
                  <c:v>24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25</c:v>
                </c:pt>
                <c:pt idx="13">
                  <c:v>25</c:v>
                </c:pt>
                <c:pt idx="14">
                  <c:v>20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5D-4536-AF82-0C58043BBD7E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Temperatura!$F$20:$F$44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Temperatura!$G$20:$G$44</c:f>
              <c:numCache>
                <c:formatCode>General</c:formatCode>
                <c:ptCount val="25"/>
                <c:pt idx="0">
                  <c:v>28</c:v>
                </c:pt>
                <c:pt idx="1">
                  <c:v>30</c:v>
                </c:pt>
                <c:pt idx="2">
                  <c:v>29</c:v>
                </c:pt>
                <c:pt idx="3">
                  <c:v>31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30</c:v>
                </c:pt>
                <c:pt idx="12">
                  <c:v>27</c:v>
                </c:pt>
                <c:pt idx="13">
                  <c:v>29</c:v>
                </c:pt>
                <c:pt idx="14">
                  <c:v>30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29</c:v>
                </c:pt>
                <c:pt idx="19">
                  <c:v>27</c:v>
                </c:pt>
                <c:pt idx="20">
                  <c:v>29</c:v>
                </c:pt>
                <c:pt idx="21">
                  <c:v>30</c:v>
                </c:pt>
                <c:pt idx="22">
                  <c:v>27</c:v>
                </c:pt>
                <c:pt idx="23">
                  <c:v>30</c:v>
                </c:pt>
                <c:pt idx="24">
                  <c:v>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5D-4536-AF82-0C58043BBD7E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Temperatura!$K$20:$K$44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Temperatura!$L$20:$L$44</c:f>
              <c:numCache>
                <c:formatCode>General</c:formatCode>
                <c:ptCount val="25"/>
                <c:pt idx="0">
                  <c:v>25</c:v>
                </c:pt>
                <c:pt idx="1">
                  <c:v>24</c:v>
                </c:pt>
                <c:pt idx="2">
                  <c:v>24</c:v>
                </c:pt>
                <c:pt idx="3">
                  <c:v>22</c:v>
                </c:pt>
                <c:pt idx="4">
                  <c:v>22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24</c:v>
                </c:pt>
                <c:pt idx="21">
                  <c:v>21</c:v>
                </c:pt>
                <c:pt idx="22">
                  <c:v>20</c:v>
                </c:pt>
                <c:pt idx="23">
                  <c:v>21</c:v>
                </c:pt>
                <c:pt idx="24">
                  <c:v>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65D-4536-AF82-0C58043BBD7E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Temperatura!$P$20:$P$44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Temperatura!$Q$20:$Q$44</c:f>
              <c:numCache>
                <c:formatCode>General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10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65D-4536-AF82-0C58043BBD7E}"/>
            </c:ext>
          </c:extLst>
        </c:ser>
        <c:ser>
          <c:idx val="4"/>
          <c:order val="4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Temperatura!$U$20:$U$44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Temperatura!$V$20:$V$44</c:f>
              <c:numCache>
                <c:formatCode>General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9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15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65D-4536-AF82-0C58043BBD7E}"/>
            </c:ext>
          </c:extLst>
        </c:ser>
        <c:ser>
          <c:idx val="5"/>
          <c:order val="5"/>
          <c:tx>
            <c:v>Co-digestión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Temperatura!$Z$20:$Z$44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Temperatura!$AA$20:$AA$44</c:f>
              <c:numCache>
                <c:formatCode>General</c:formatCode>
                <c:ptCount val="25"/>
                <c:pt idx="0">
                  <c:v>23</c:v>
                </c:pt>
                <c:pt idx="1">
                  <c:v>19</c:v>
                </c:pt>
                <c:pt idx="2">
                  <c:v>22</c:v>
                </c:pt>
                <c:pt idx="3">
                  <c:v>23</c:v>
                </c:pt>
                <c:pt idx="4">
                  <c:v>21</c:v>
                </c:pt>
                <c:pt idx="5">
                  <c:v>25</c:v>
                </c:pt>
                <c:pt idx="6">
                  <c:v>19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25</c:v>
                </c:pt>
                <c:pt idx="11">
                  <c:v>23</c:v>
                </c:pt>
                <c:pt idx="12">
                  <c:v>24</c:v>
                </c:pt>
                <c:pt idx="13">
                  <c:v>24</c:v>
                </c:pt>
                <c:pt idx="14">
                  <c:v>25</c:v>
                </c:pt>
                <c:pt idx="15">
                  <c:v>23</c:v>
                </c:pt>
                <c:pt idx="16">
                  <c:v>22</c:v>
                </c:pt>
                <c:pt idx="17">
                  <c:v>18</c:v>
                </c:pt>
                <c:pt idx="18">
                  <c:v>25</c:v>
                </c:pt>
                <c:pt idx="19">
                  <c:v>24</c:v>
                </c:pt>
                <c:pt idx="20">
                  <c:v>23</c:v>
                </c:pt>
                <c:pt idx="21">
                  <c:v>19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65D-4536-AF82-0C58043B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373600"/>
        <c:axId val="-2135368848"/>
      </c:scatterChart>
      <c:valAx>
        <c:axId val="-213537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</a:t>
                </a:r>
                <a:r>
                  <a:rPr lang="es-ES_tradnl" baseline="0"/>
                  <a:t> (Días)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368848"/>
        <c:crosses val="autoZero"/>
        <c:crossBetween val="midCat"/>
      </c:valAx>
      <c:valAx>
        <c:axId val="-213536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Temperatura externa 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373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67783830788"/>
          <c:y val="5.9369952115670303E-2"/>
          <c:w val="0.68925447291443498"/>
          <c:h val="0.72642642513057099"/>
        </c:manualLayout>
      </c:layout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Temperatura!$A$20:$A$39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Temperatura!$C$20:$C$39</c:f>
              <c:numCache>
                <c:formatCode>General</c:formatCode>
                <c:ptCount val="20"/>
                <c:pt idx="0">
                  <c:v>25</c:v>
                </c:pt>
                <c:pt idx="1">
                  <c:v>26</c:v>
                </c:pt>
                <c:pt idx="2">
                  <c:v>21</c:v>
                </c:pt>
                <c:pt idx="3">
                  <c:v>22.5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22.9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18</c:v>
                </c:pt>
                <c:pt idx="19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DF-4BEF-835F-A516F7F19178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Temperatura!$F$20:$F$44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Temperatura!$H$20:$H$44</c:f>
              <c:numCache>
                <c:formatCode>General</c:formatCode>
                <c:ptCount val="25"/>
                <c:pt idx="0">
                  <c:v>26.2</c:v>
                </c:pt>
                <c:pt idx="1">
                  <c:v>27.5</c:v>
                </c:pt>
                <c:pt idx="2">
                  <c:v>27.1</c:v>
                </c:pt>
                <c:pt idx="3">
                  <c:v>29.8</c:v>
                </c:pt>
                <c:pt idx="4">
                  <c:v>29</c:v>
                </c:pt>
                <c:pt idx="5">
                  <c:v>26.4</c:v>
                </c:pt>
                <c:pt idx="6">
                  <c:v>26.8</c:v>
                </c:pt>
                <c:pt idx="7">
                  <c:v>27.9</c:v>
                </c:pt>
                <c:pt idx="8">
                  <c:v>26.4</c:v>
                </c:pt>
                <c:pt idx="9">
                  <c:v>28.2</c:v>
                </c:pt>
                <c:pt idx="10">
                  <c:v>28.2</c:v>
                </c:pt>
                <c:pt idx="11">
                  <c:v>28</c:v>
                </c:pt>
                <c:pt idx="12">
                  <c:v>28.3</c:v>
                </c:pt>
                <c:pt idx="13">
                  <c:v>28.9</c:v>
                </c:pt>
                <c:pt idx="14">
                  <c:v>28.3</c:v>
                </c:pt>
                <c:pt idx="15">
                  <c:v>28.5</c:v>
                </c:pt>
                <c:pt idx="16">
                  <c:v>28.8</c:v>
                </c:pt>
                <c:pt idx="17">
                  <c:v>27.3</c:v>
                </c:pt>
                <c:pt idx="18">
                  <c:v>27</c:v>
                </c:pt>
                <c:pt idx="19">
                  <c:v>25</c:v>
                </c:pt>
                <c:pt idx="20">
                  <c:v>26.2</c:v>
                </c:pt>
                <c:pt idx="21">
                  <c:v>28.6</c:v>
                </c:pt>
                <c:pt idx="22">
                  <c:v>25.8</c:v>
                </c:pt>
                <c:pt idx="23">
                  <c:v>28.5</c:v>
                </c:pt>
                <c:pt idx="24">
                  <c:v>26.9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DF-4BEF-835F-A516F7F19178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Temperatura!$K$20:$K$44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Temperatura!$M$20:$M$44</c:f>
              <c:numCache>
                <c:formatCode>General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24</c:v>
                </c:pt>
                <c:pt idx="7">
                  <c:v>25</c:v>
                </c:pt>
                <c:pt idx="8">
                  <c:v>24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25</c:v>
                </c:pt>
                <c:pt idx="17">
                  <c:v>24</c:v>
                </c:pt>
                <c:pt idx="18">
                  <c:v>26</c:v>
                </c:pt>
                <c:pt idx="19">
                  <c:v>26</c:v>
                </c:pt>
                <c:pt idx="20">
                  <c:v>25</c:v>
                </c:pt>
                <c:pt idx="21">
                  <c:v>24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DF-4BEF-835F-A516F7F19178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Temperatura!$P$20:$P$44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Temperatura!$R$20:$R$44</c:f>
              <c:numCache>
                <c:formatCode>General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17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18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17</c:v>
                </c:pt>
                <c:pt idx="24">
                  <c:v>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DF-4BEF-835F-A516F7F19178}"/>
            </c:ext>
          </c:extLst>
        </c:ser>
        <c:ser>
          <c:idx val="4"/>
          <c:order val="4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Temperatura!$U$20:$U$44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Temperatura!$X$20:$X$44</c:f>
              <c:numCache>
                <c:formatCode>General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  <c:pt idx="4">
                  <c:v>17</c:v>
                </c:pt>
                <c:pt idx="5">
                  <c:v>19</c:v>
                </c:pt>
                <c:pt idx="6">
                  <c:v>18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16</c:v>
                </c:pt>
                <c:pt idx="12">
                  <c:v>17</c:v>
                </c:pt>
                <c:pt idx="13">
                  <c:v>19</c:v>
                </c:pt>
                <c:pt idx="14">
                  <c:v>20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16</c:v>
                </c:pt>
                <c:pt idx="19">
                  <c:v>19.5</c:v>
                </c:pt>
                <c:pt idx="20">
                  <c:v>18.5</c:v>
                </c:pt>
                <c:pt idx="21">
                  <c:v>17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DF-4BEF-835F-A516F7F19178}"/>
            </c:ext>
          </c:extLst>
        </c:ser>
        <c:ser>
          <c:idx val="5"/>
          <c:order val="5"/>
          <c:tx>
            <c:v>Co-digestión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Temperatura!$Z$20:$Z$44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Temperatura!$AB$20:$AB$44</c:f>
              <c:numCache>
                <c:formatCode>General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24</c:v>
                </c:pt>
                <c:pt idx="3">
                  <c:v>26</c:v>
                </c:pt>
                <c:pt idx="4">
                  <c:v>24</c:v>
                </c:pt>
                <c:pt idx="5">
                  <c:v>23</c:v>
                </c:pt>
                <c:pt idx="6">
                  <c:v>21</c:v>
                </c:pt>
                <c:pt idx="7">
                  <c:v>26</c:v>
                </c:pt>
                <c:pt idx="8">
                  <c:v>21</c:v>
                </c:pt>
                <c:pt idx="9">
                  <c:v>23</c:v>
                </c:pt>
                <c:pt idx="10">
                  <c:v>23</c:v>
                </c:pt>
                <c:pt idx="11">
                  <c:v>26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26</c:v>
                </c:pt>
                <c:pt idx="16">
                  <c:v>23</c:v>
                </c:pt>
                <c:pt idx="17">
                  <c:v>21</c:v>
                </c:pt>
                <c:pt idx="18">
                  <c:v>23</c:v>
                </c:pt>
                <c:pt idx="19">
                  <c:v>21</c:v>
                </c:pt>
                <c:pt idx="20">
                  <c:v>26</c:v>
                </c:pt>
                <c:pt idx="21">
                  <c:v>21</c:v>
                </c:pt>
                <c:pt idx="22">
                  <c:v>20</c:v>
                </c:pt>
                <c:pt idx="23">
                  <c:v>21</c:v>
                </c:pt>
                <c:pt idx="24">
                  <c:v>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DF-4BEF-835F-A516F7F1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414960"/>
        <c:axId val="-2135437504"/>
      </c:scatterChart>
      <c:valAx>
        <c:axId val="-213541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437504"/>
        <c:crosses val="autoZero"/>
        <c:crossBetween val="midCat"/>
      </c:valAx>
      <c:valAx>
        <c:axId val="-213543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Temperatura interna del</a:t>
                </a:r>
                <a:r>
                  <a:rPr lang="es-ES_tradnl" baseline="0"/>
                  <a:t> digestor sin serpentín (ºC)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414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0053299194401"/>
          <c:y val="5.9369952115670303E-2"/>
          <c:w val="0.67026110986120002"/>
          <c:h val="0.72642642513057099"/>
        </c:manualLayout>
      </c:layout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Temperatura!$A$20:$A$39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Temperatura!$D$20:$D$39</c:f>
              <c:numCache>
                <c:formatCode>General</c:formatCode>
                <c:ptCount val="20"/>
                <c:pt idx="0">
                  <c:v>26</c:v>
                </c:pt>
                <c:pt idx="1">
                  <c:v>27</c:v>
                </c:pt>
                <c:pt idx="2">
                  <c:v>22</c:v>
                </c:pt>
                <c:pt idx="3">
                  <c:v>23.5</c:v>
                </c:pt>
                <c:pt idx="4">
                  <c:v>21</c:v>
                </c:pt>
                <c:pt idx="5">
                  <c:v>22</c:v>
                </c:pt>
                <c:pt idx="6">
                  <c:v>22</c:v>
                </c:pt>
                <c:pt idx="7">
                  <c:v>21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23</c:v>
                </c:pt>
                <c:pt idx="12">
                  <c:v>24</c:v>
                </c:pt>
                <c:pt idx="13">
                  <c:v>24</c:v>
                </c:pt>
                <c:pt idx="14">
                  <c:v>23.1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9A-48CE-9DDC-D16234AA22A2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Temperatura!$F$20:$F$44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Temperatura!$I$20:$I$44</c:f>
              <c:numCache>
                <c:formatCode>General</c:formatCode>
                <c:ptCount val="25"/>
                <c:pt idx="0">
                  <c:v>27.1</c:v>
                </c:pt>
                <c:pt idx="1">
                  <c:v>28.4</c:v>
                </c:pt>
                <c:pt idx="2">
                  <c:v>28.1</c:v>
                </c:pt>
                <c:pt idx="3">
                  <c:v>30.7</c:v>
                </c:pt>
                <c:pt idx="4">
                  <c:v>30</c:v>
                </c:pt>
                <c:pt idx="5">
                  <c:v>29.6</c:v>
                </c:pt>
                <c:pt idx="6">
                  <c:v>29.3</c:v>
                </c:pt>
                <c:pt idx="7">
                  <c:v>28.1</c:v>
                </c:pt>
                <c:pt idx="8">
                  <c:v>28.2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</c:v>
                </c:pt>
                <c:pt idx="13">
                  <c:v>28.7</c:v>
                </c:pt>
                <c:pt idx="14">
                  <c:v>28.3</c:v>
                </c:pt>
                <c:pt idx="15">
                  <c:v>28</c:v>
                </c:pt>
                <c:pt idx="16">
                  <c:v>27.4</c:v>
                </c:pt>
                <c:pt idx="17">
                  <c:v>27.1</c:v>
                </c:pt>
                <c:pt idx="18">
                  <c:v>27</c:v>
                </c:pt>
                <c:pt idx="19">
                  <c:v>28</c:v>
                </c:pt>
                <c:pt idx="20">
                  <c:v>27.3</c:v>
                </c:pt>
                <c:pt idx="21">
                  <c:v>29.2</c:v>
                </c:pt>
                <c:pt idx="22">
                  <c:v>27.3</c:v>
                </c:pt>
                <c:pt idx="23">
                  <c:v>28.7</c:v>
                </c:pt>
                <c:pt idx="24">
                  <c:v>27.5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9A-48CE-9DDC-D16234AA22A2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Temperatura!$K$20:$K$44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Temperatura!$N$20:$N$44</c:f>
              <c:numCache>
                <c:formatCode>General</c:formatCode>
                <c:ptCount val="25"/>
                <c:pt idx="0">
                  <c:v>28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27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26</c:v>
                </c:pt>
                <c:pt idx="12">
                  <c:v>27</c:v>
                </c:pt>
                <c:pt idx="13">
                  <c:v>26</c:v>
                </c:pt>
                <c:pt idx="14">
                  <c:v>25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9A-48CE-9DDC-D16234AA22A2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Temperatura!$P$20:$P$44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Temperatura!$S$20:$S$44</c:f>
              <c:numCache>
                <c:formatCode>General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18</c:v>
                </c:pt>
                <c:pt idx="12">
                  <c:v>19</c:v>
                </c:pt>
                <c:pt idx="13">
                  <c:v>19</c:v>
                </c:pt>
                <c:pt idx="14">
                  <c:v>20</c:v>
                </c:pt>
                <c:pt idx="15">
                  <c:v>19</c:v>
                </c:pt>
                <c:pt idx="16">
                  <c:v>21</c:v>
                </c:pt>
                <c:pt idx="17">
                  <c:v>20</c:v>
                </c:pt>
                <c:pt idx="18">
                  <c:v>19</c:v>
                </c:pt>
                <c:pt idx="19">
                  <c:v>20</c:v>
                </c:pt>
                <c:pt idx="20">
                  <c:v>19</c:v>
                </c:pt>
                <c:pt idx="21">
                  <c:v>19</c:v>
                </c:pt>
                <c:pt idx="22">
                  <c:v>20</c:v>
                </c:pt>
                <c:pt idx="23">
                  <c:v>19</c:v>
                </c:pt>
                <c:pt idx="24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9A-48CE-9DDC-D16234AA22A2}"/>
            </c:ext>
          </c:extLst>
        </c:ser>
        <c:ser>
          <c:idx val="4"/>
          <c:order val="4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Temperatura!$U$20:$U$44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Temperatura!$X$20:$X$44</c:f>
              <c:numCache>
                <c:formatCode>General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  <c:pt idx="4">
                  <c:v>17</c:v>
                </c:pt>
                <c:pt idx="5">
                  <c:v>19</c:v>
                </c:pt>
                <c:pt idx="6">
                  <c:v>18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16</c:v>
                </c:pt>
                <c:pt idx="12">
                  <c:v>17</c:v>
                </c:pt>
                <c:pt idx="13">
                  <c:v>19</c:v>
                </c:pt>
                <c:pt idx="14">
                  <c:v>20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16</c:v>
                </c:pt>
                <c:pt idx="19">
                  <c:v>19.5</c:v>
                </c:pt>
                <c:pt idx="20">
                  <c:v>18.5</c:v>
                </c:pt>
                <c:pt idx="21">
                  <c:v>17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79A-48CE-9DDC-D16234AA22A2}"/>
            </c:ext>
          </c:extLst>
        </c:ser>
        <c:ser>
          <c:idx val="5"/>
          <c:order val="5"/>
          <c:tx>
            <c:v>Co-digestión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Temperatura!$Z$20:$Z$44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Temperatura!$AC$20:$AC$44</c:f>
              <c:numCache>
                <c:formatCode>General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27</c:v>
                </c:pt>
                <c:pt idx="3">
                  <c:v>27</c:v>
                </c:pt>
                <c:pt idx="4">
                  <c:v>26</c:v>
                </c:pt>
                <c:pt idx="5">
                  <c:v>28</c:v>
                </c:pt>
                <c:pt idx="6">
                  <c:v>26</c:v>
                </c:pt>
                <c:pt idx="7">
                  <c:v>27</c:v>
                </c:pt>
                <c:pt idx="8">
                  <c:v>26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26</c:v>
                </c:pt>
                <c:pt idx="14">
                  <c:v>28</c:v>
                </c:pt>
                <c:pt idx="15">
                  <c:v>27</c:v>
                </c:pt>
                <c:pt idx="16">
                  <c:v>26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27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79A-48CE-9DDC-D16234AA2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86688"/>
        <c:axId val="-2135281040"/>
      </c:scatterChart>
      <c:valAx>
        <c:axId val="-213528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transcurridos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281040"/>
        <c:crosses val="autoZero"/>
        <c:crossBetween val="midCat"/>
      </c:valAx>
      <c:valAx>
        <c:axId val="-213528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Temperatura interna del digestor con</a:t>
                </a:r>
                <a:r>
                  <a:rPr lang="es-ES_tradnl" baseline="0"/>
                  <a:t> serpentín</a:t>
                </a:r>
                <a:r>
                  <a:rPr lang="es-ES_tradnl"/>
                  <a:t>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286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Digestor sin serpentín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'Conductividad '!$A$20:$A$44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'!$B$20:$B$39</c:f>
              <c:numCache>
                <c:formatCode>General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1314</c:v>
                </c:pt>
                <c:pt idx="3">
                  <c:v>1335</c:v>
                </c:pt>
                <c:pt idx="4">
                  <c:v>1207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1314</c:v>
                </c:pt>
                <c:pt idx="9">
                  <c:v>1335</c:v>
                </c:pt>
                <c:pt idx="10">
                  <c:v>1047</c:v>
                </c:pt>
                <c:pt idx="11">
                  <c:v>1045</c:v>
                </c:pt>
                <c:pt idx="12">
                  <c:v>1126</c:v>
                </c:pt>
                <c:pt idx="13">
                  <c:v>1161</c:v>
                </c:pt>
                <c:pt idx="14">
                  <c:v>1207</c:v>
                </c:pt>
                <c:pt idx="15">
                  <c:v>1250</c:v>
                </c:pt>
                <c:pt idx="16">
                  <c:v>1462</c:v>
                </c:pt>
                <c:pt idx="17">
                  <c:v>1462</c:v>
                </c:pt>
                <c:pt idx="18">
                  <c:v>1485</c:v>
                </c:pt>
                <c:pt idx="19">
                  <c:v>1540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D1-445E-85C4-C463EFB6ECBA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'Conductividad '!$A$20:$A$44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'!$C$20:$C$44</c:f>
              <c:numCache>
                <c:formatCode>General</c:formatCode>
                <c:ptCount val="25"/>
                <c:pt idx="0">
                  <c:v>1387</c:v>
                </c:pt>
                <c:pt idx="1">
                  <c:v>1387</c:v>
                </c:pt>
                <c:pt idx="2">
                  <c:v>1418</c:v>
                </c:pt>
                <c:pt idx="3">
                  <c:v>1456</c:v>
                </c:pt>
                <c:pt idx="4">
                  <c:v>1209</c:v>
                </c:pt>
                <c:pt idx="5">
                  <c:v>1209</c:v>
                </c:pt>
                <c:pt idx="6">
                  <c:v>1232</c:v>
                </c:pt>
                <c:pt idx="7">
                  <c:v>1591</c:v>
                </c:pt>
                <c:pt idx="8">
                  <c:v>1232</c:v>
                </c:pt>
                <c:pt idx="9">
                  <c:v>1267</c:v>
                </c:pt>
                <c:pt idx="10">
                  <c:v>1274</c:v>
                </c:pt>
                <c:pt idx="11">
                  <c:v>1301</c:v>
                </c:pt>
                <c:pt idx="12">
                  <c:v>1365</c:v>
                </c:pt>
                <c:pt idx="13">
                  <c:v>1387</c:v>
                </c:pt>
                <c:pt idx="14">
                  <c:v>1274</c:v>
                </c:pt>
                <c:pt idx="15">
                  <c:v>1301</c:v>
                </c:pt>
                <c:pt idx="16">
                  <c:v>1365</c:v>
                </c:pt>
                <c:pt idx="17">
                  <c:v>1387</c:v>
                </c:pt>
                <c:pt idx="18">
                  <c:v>1387</c:v>
                </c:pt>
                <c:pt idx="19">
                  <c:v>1418</c:v>
                </c:pt>
                <c:pt idx="20">
                  <c:v>1456</c:v>
                </c:pt>
                <c:pt idx="21">
                  <c:v>1209</c:v>
                </c:pt>
                <c:pt idx="22">
                  <c:v>1209</c:v>
                </c:pt>
                <c:pt idx="23">
                  <c:v>1232</c:v>
                </c:pt>
                <c:pt idx="24">
                  <c:v>1591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D1-445E-85C4-C463EFB6ECBA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'Conductividad '!$A$20:$A$44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'!$D$20:$D$44</c:f>
              <c:numCache>
                <c:formatCode>General</c:formatCode>
                <c:ptCount val="25"/>
                <c:pt idx="0">
                  <c:v>1047</c:v>
                </c:pt>
                <c:pt idx="1">
                  <c:v>927</c:v>
                </c:pt>
                <c:pt idx="2">
                  <c:v>981</c:v>
                </c:pt>
                <c:pt idx="3">
                  <c:v>985</c:v>
                </c:pt>
                <c:pt idx="4">
                  <c:v>985</c:v>
                </c:pt>
                <c:pt idx="5">
                  <c:v>1145</c:v>
                </c:pt>
                <c:pt idx="6">
                  <c:v>1272</c:v>
                </c:pt>
                <c:pt idx="7">
                  <c:v>1253</c:v>
                </c:pt>
                <c:pt idx="8">
                  <c:v>1291</c:v>
                </c:pt>
                <c:pt idx="9">
                  <c:v>1377</c:v>
                </c:pt>
                <c:pt idx="10">
                  <c:v>1383</c:v>
                </c:pt>
                <c:pt idx="11">
                  <c:v>1380</c:v>
                </c:pt>
                <c:pt idx="12">
                  <c:v>1447</c:v>
                </c:pt>
                <c:pt idx="13">
                  <c:v>1447</c:v>
                </c:pt>
                <c:pt idx="14">
                  <c:v>1382</c:v>
                </c:pt>
                <c:pt idx="15">
                  <c:v>1321</c:v>
                </c:pt>
                <c:pt idx="16">
                  <c:v>1321</c:v>
                </c:pt>
                <c:pt idx="17">
                  <c:v>1332</c:v>
                </c:pt>
                <c:pt idx="18">
                  <c:v>1341</c:v>
                </c:pt>
                <c:pt idx="19">
                  <c:v>1341</c:v>
                </c:pt>
                <c:pt idx="20">
                  <c:v>1272</c:v>
                </c:pt>
                <c:pt idx="21">
                  <c:v>1253</c:v>
                </c:pt>
                <c:pt idx="22">
                  <c:v>1291</c:v>
                </c:pt>
                <c:pt idx="23">
                  <c:v>1377</c:v>
                </c:pt>
                <c:pt idx="24">
                  <c:v>1383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D1-445E-85C4-C463EFB6ECBA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'Conductividad '!$A$20:$A$44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'!$E$20:$E$44</c:f>
              <c:numCache>
                <c:formatCode>General</c:formatCode>
                <c:ptCount val="25"/>
                <c:pt idx="0">
                  <c:v>437</c:v>
                </c:pt>
                <c:pt idx="1">
                  <c:v>751</c:v>
                </c:pt>
                <c:pt idx="2">
                  <c:v>849</c:v>
                </c:pt>
                <c:pt idx="3">
                  <c:v>911</c:v>
                </c:pt>
                <c:pt idx="4">
                  <c:v>918</c:v>
                </c:pt>
                <c:pt idx="5">
                  <c:v>963</c:v>
                </c:pt>
                <c:pt idx="6">
                  <c:v>953</c:v>
                </c:pt>
                <c:pt idx="7">
                  <c:v>982</c:v>
                </c:pt>
                <c:pt idx="8">
                  <c:v>924</c:v>
                </c:pt>
                <c:pt idx="9">
                  <c:v>1006</c:v>
                </c:pt>
                <c:pt idx="10">
                  <c:v>1121</c:v>
                </c:pt>
                <c:pt idx="11">
                  <c:v>1124</c:v>
                </c:pt>
                <c:pt idx="12">
                  <c:v>1198</c:v>
                </c:pt>
                <c:pt idx="13">
                  <c:v>1185</c:v>
                </c:pt>
                <c:pt idx="14">
                  <c:v>1134</c:v>
                </c:pt>
                <c:pt idx="15">
                  <c:v>1111</c:v>
                </c:pt>
                <c:pt idx="16">
                  <c:v>1142</c:v>
                </c:pt>
                <c:pt idx="17">
                  <c:v>911</c:v>
                </c:pt>
                <c:pt idx="18">
                  <c:v>918</c:v>
                </c:pt>
                <c:pt idx="19">
                  <c:v>1124</c:v>
                </c:pt>
                <c:pt idx="20">
                  <c:v>1024</c:v>
                </c:pt>
                <c:pt idx="21">
                  <c:v>1198</c:v>
                </c:pt>
                <c:pt idx="22">
                  <c:v>1185</c:v>
                </c:pt>
                <c:pt idx="23">
                  <c:v>1134</c:v>
                </c:pt>
                <c:pt idx="24">
                  <c:v>1192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D1-445E-85C4-C463EFB6ECBA}"/>
            </c:ext>
          </c:extLst>
        </c:ser>
        <c:ser>
          <c:idx val="4"/>
          <c:order val="4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'Conductividad '!$A$20:$A$44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'!$F$20:$F$44</c:f>
              <c:numCache>
                <c:formatCode>General</c:formatCode>
                <c:ptCount val="25"/>
                <c:pt idx="0">
                  <c:v>1738</c:v>
                </c:pt>
                <c:pt idx="1">
                  <c:v>1454</c:v>
                </c:pt>
                <c:pt idx="2">
                  <c:v>1994</c:v>
                </c:pt>
                <c:pt idx="3">
                  <c:v>1994</c:v>
                </c:pt>
                <c:pt idx="4">
                  <c:v>1882</c:v>
                </c:pt>
                <c:pt idx="5">
                  <c:v>1960</c:v>
                </c:pt>
                <c:pt idx="6">
                  <c:v>1859</c:v>
                </c:pt>
                <c:pt idx="7">
                  <c:v>1932</c:v>
                </c:pt>
                <c:pt idx="8">
                  <c:v>1985</c:v>
                </c:pt>
                <c:pt idx="9">
                  <c:v>1649</c:v>
                </c:pt>
                <c:pt idx="10">
                  <c:v>1649</c:v>
                </c:pt>
                <c:pt idx="11">
                  <c:v>2055</c:v>
                </c:pt>
                <c:pt idx="12">
                  <c:v>1454</c:v>
                </c:pt>
                <c:pt idx="13">
                  <c:v>1454</c:v>
                </c:pt>
                <c:pt idx="14">
                  <c:v>1940</c:v>
                </c:pt>
                <c:pt idx="15">
                  <c:v>1882</c:v>
                </c:pt>
                <c:pt idx="16">
                  <c:v>1850</c:v>
                </c:pt>
                <c:pt idx="17">
                  <c:v>1850</c:v>
                </c:pt>
                <c:pt idx="18">
                  <c:v>1967</c:v>
                </c:pt>
                <c:pt idx="19">
                  <c:v>2011</c:v>
                </c:pt>
                <c:pt idx="20">
                  <c:v>1927</c:v>
                </c:pt>
                <c:pt idx="21">
                  <c:v>1759</c:v>
                </c:pt>
                <c:pt idx="22">
                  <c:v>1945</c:v>
                </c:pt>
                <c:pt idx="23">
                  <c:v>1999</c:v>
                </c:pt>
                <c:pt idx="24">
                  <c:v>1857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6D1-445E-85C4-C463EFB6ECBA}"/>
            </c:ext>
          </c:extLst>
        </c:ser>
        <c:ser>
          <c:idx val="5"/>
          <c:order val="5"/>
          <c:tx>
            <c:v>Co-digestión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'Conductividad '!$J$20:$J$44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'!$G$20:$G$44</c:f>
              <c:numCache>
                <c:formatCode>General</c:formatCode>
                <c:ptCount val="25"/>
                <c:pt idx="0">
                  <c:v>3865</c:v>
                </c:pt>
                <c:pt idx="1">
                  <c:v>3454</c:v>
                </c:pt>
                <c:pt idx="2">
                  <c:v>2994</c:v>
                </c:pt>
                <c:pt idx="3">
                  <c:v>2994</c:v>
                </c:pt>
                <c:pt idx="4">
                  <c:v>2882</c:v>
                </c:pt>
                <c:pt idx="5">
                  <c:v>2960</c:v>
                </c:pt>
                <c:pt idx="6">
                  <c:v>2859</c:v>
                </c:pt>
                <c:pt idx="7">
                  <c:v>2932</c:v>
                </c:pt>
                <c:pt idx="8">
                  <c:v>2985</c:v>
                </c:pt>
                <c:pt idx="9">
                  <c:v>2649</c:v>
                </c:pt>
                <c:pt idx="10">
                  <c:v>2649</c:v>
                </c:pt>
                <c:pt idx="11">
                  <c:v>2055</c:v>
                </c:pt>
                <c:pt idx="12">
                  <c:v>2454</c:v>
                </c:pt>
                <c:pt idx="13">
                  <c:v>2454</c:v>
                </c:pt>
                <c:pt idx="14">
                  <c:v>2940</c:v>
                </c:pt>
                <c:pt idx="15">
                  <c:v>2882</c:v>
                </c:pt>
                <c:pt idx="16">
                  <c:v>2850</c:v>
                </c:pt>
                <c:pt idx="17">
                  <c:v>2850</c:v>
                </c:pt>
                <c:pt idx="18">
                  <c:v>2967</c:v>
                </c:pt>
                <c:pt idx="19">
                  <c:v>2011</c:v>
                </c:pt>
                <c:pt idx="20">
                  <c:v>1927</c:v>
                </c:pt>
                <c:pt idx="21">
                  <c:v>2759</c:v>
                </c:pt>
                <c:pt idx="22">
                  <c:v>1998</c:v>
                </c:pt>
                <c:pt idx="23">
                  <c:v>1999</c:v>
                </c:pt>
                <c:pt idx="24">
                  <c:v>2412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6D1-445E-85C4-C463EFB6E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81360"/>
        <c:axId val="-2135175536"/>
      </c:scatterChart>
      <c:valAx>
        <c:axId val="-2135181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</a:t>
                </a:r>
                <a:r>
                  <a:rPr lang="en-US" baseline="0"/>
                  <a:t> transcurrido (Días)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175536"/>
        <c:crosses val="autoZero"/>
        <c:crossBetween val="midCat"/>
      </c:valAx>
      <c:valAx>
        <c:axId val="-21351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Conductividad eléctrica (us/cm)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18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Digestor con serpentín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'Conductividad '!$J$20:$J$44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'!$K$20:$K$39</c:f>
              <c:numCache>
                <c:formatCode>General</c:formatCode>
                <c:ptCount val="20"/>
                <c:pt idx="0">
                  <c:v>1035</c:v>
                </c:pt>
                <c:pt idx="1">
                  <c:v>1037</c:v>
                </c:pt>
                <c:pt idx="2">
                  <c:v>1121</c:v>
                </c:pt>
                <c:pt idx="3">
                  <c:v>1121</c:v>
                </c:pt>
                <c:pt idx="4">
                  <c:v>1161</c:v>
                </c:pt>
                <c:pt idx="5">
                  <c:v>1197</c:v>
                </c:pt>
                <c:pt idx="6">
                  <c:v>1376</c:v>
                </c:pt>
                <c:pt idx="7">
                  <c:v>1412</c:v>
                </c:pt>
                <c:pt idx="8">
                  <c:v>1412</c:v>
                </c:pt>
                <c:pt idx="9">
                  <c:v>1412</c:v>
                </c:pt>
                <c:pt idx="10">
                  <c:v>1423</c:v>
                </c:pt>
                <c:pt idx="11">
                  <c:v>1250</c:v>
                </c:pt>
                <c:pt idx="12">
                  <c:v>1314</c:v>
                </c:pt>
                <c:pt idx="13">
                  <c:v>1314</c:v>
                </c:pt>
                <c:pt idx="14">
                  <c:v>1376</c:v>
                </c:pt>
                <c:pt idx="15">
                  <c:v>1412</c:v>
                </c:pt>
                <c:pt idx="16">
                  <c:v>1423</c:v>
                </c:pt>
                <c:pt idx="17">
                  <c:v>1250</c:v>
                </c:pt>
                <c:pt idx="18">
                  <c:v>1314</c:v>
                </c:pt>
                <c:pt idx="19">
                  <c:v>1485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AE-4D1D-8F8C-A328F4489342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'Conductividad '!$J$20:$J$44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'!$L$20:$L$44</c:f>
              <c:numCache>
                <c:formatCode>General</c:formatCode>
                <c:ptCount val="25"/>
                <c:pt idx="0">
                  <c:v>1025</c:v>
                </c:pt>
                <c:pt idx="1">
                  <c:v>1093</c:v>
                </c:pt>
                <c:pt idx="2">
                  <c:v>1121</c:v>
                </c:pt>
                <c:pt idx="3">
                  <c:v>1141</c:v>
                </c:pt>
                <c:pt idx="4">
                  <c:v>1153</c:v>
                </c:pt>
                <c:pt idx="5">
                  <c:v>1197</c:v>
                </c:pt>
                <c:pt idx="6">
                  <c:v>1209</c:v>
                </c:pt>
                <c:pt idx="7">
                  <c:v>1209</c:v>
                </c:pt>
                <c:pt idx="8">
                  <c:v>1365</c:v>
                </c:pt>
                <c:pt idx="9">
                  <c:v>1387</c:v>
                </c:pt>
                <c:pt idx="10">
                  <c:v>1387</c:v>
                </c:pt>
                <c:pt idx="11">
                  <c:v>1418</c:v>
                </c:pt>
                <c:pt idx="12">
                  <c:v>1232</c:v>
                </c:pt>
                <c:pt idx="13">
                  <c:v>1267</c:v>
                </c:pt>
                <c:pt idx="14">
                  <c:v>1274</c:v>
                </c:pt>
                <c:pt idx="15">
                  <c:v>1301</c:v>
                </c:pt>
                <c:pt idx="16">
                  <c:v>1365</c:v>
                </c:pt>
                <c:pt idx="17">
                  <c:v>1387</c:v>
                </c:pt>
                <c:pt idx="18">
                  <c:v>1387</c:v>
                </c:pt>
                <c:pt idx="19">
                  <c:v>1153</c:v>
                </c:pt>
                <c:pt idx="20">
                  <c:v>1197</c:v>
                </c:pt>
                <c:pt idx="21">
                  <c:v>1209</c:v>
                </c:pt>
                <c:pt idx="22">
                  <c:v>1209</c:v>
                </c:pt>
                <c:pt idx="23">
                  <c:v>1365</c:v>
                </c:pt>
                <c:pt idx="24">
                  <c:v>1591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AE-4D1D-8F8C-A328F4489342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'Conductividad '!$J$20:$J$44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'!$M$20:$M$44</c:f>
              <c:numCache>
                <c:formatCode>General</c:formatCode>
                <c:ptCount val="25"/>
                <c:pt idx="0">
                  <c:v>927</c:v>
                </c:pt>
                <c:pt idx="1">
                  <c:v>917</c:v>
                </c:pt>
                <c:pt idx="2">
                  <c:v>864</c:v>
                </c:pt>
                <c:pt idx="3">
                  <c:v>902</c:v>
                </c:pt>
                <c:pt idx="4">
                  <c:v>902</c:v>
                </c:pt>
                <c:pt idx="5">
                  <c:v>951</c:v>
                </c:pt>
                <c:pt idx="6">
                  <c:v>985</c:v>
                </c:pt>
                <c:pt idx="7">
                  <c:v>960</c:v>
                </c:pt>
                <c:pt idx="8">
                  <c:v>1010</c:v>
                </c:pt>
                <c:pt idx="9">
                  <c:v>1046</c:v>
                </c:pt>
                <c:pt idx="10">
                  <c:v>1088</c:v>
                </c:pt>
                <c:pt idx="11">
                  <c:v>1067</c:v>
                </c:pt>
                <c:pt idx="12">
                  <c:v>1182</c:v>
                </c:pt>
                <c:pt idx="13">
                  <c:v>1182</c:v>
                </c:pt>
                <c:pt idx="14">
                  <c:v>1128</c:v>
                </c:pt>
                <c:pt idx="15">
                  <c:v>1182</c:v>
                </c:pt>
                <c:pt idx="16">
                  <c:v>1182</c:v>
                </c:pt>
                <c:pt idx="17">
                  <c:v>1163</c:v>
                </c:pt>
                <c:pt idx="18">
                  <c:v>1064</c:v>
                </c:pt>
                <c:pt idx="19">
                  <c:v>1064</c:v>
                </c:pt>
                <c:pt idx="20">
                  <c:v>1046</c:v>
                </c:pt>
                <c:pt idx="21">
                  <c:v>1088</c:v>
                </c:pt>
                <c:pt idx="22">
                  <c:v>1067</c:v>
                </c:pt>
                <c:pt idx="23">
                  <c:v>1182</c:v>
                </c:pt>
                <c:pt idx="24">
                  <c:v>1182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AE-4D1D-8F8C-A328F4489342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'Conductividad '!$J$20:$J$44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'!$N$20:$N$44</c:f>
              <c:numCache>
                <c:formatCode>General</c:formatCode>
                <c:ptCount val="25"/>
                <c:pt idx="0">
                  <c:v>542</c:v>
                </c:pt>
                <c:pt idx="1">
                  <c:v>789</c:v>
                </c:pt>
                <c:pt idx="2">
                  <c:v>842</c:v>
                </c:pt>
                <c:pt idx="3">
                  <c:v>921</c:v>
                </c:pt>
                <c:pt idx="4">
                  <c:v>939</c:v>
                </c:pt>
                <c:pt idx="5">
                  <c:v>912</c:v>
                </c:pt>
                <c:pt idx="6">
                  <c:v>968</c:v>
                </c:pt>
                <c:pt idx="7">
                  <c:v>1005</c:v>
                </c:pt>
                <c:pt idx="8">
                  <c:v>1124</c:v>
                </c:pt>
                <c:pt idx="9">
                  <c:v>1068</c:v>
                </c:pt>
                <c:pt idx="10">
                  <c:v>1137</c:v>
                </c:pt>
                <c:pt idx="11">
                  <c:v>1124</c:v>
                </c:pt>
                <c:pt idx="12">
                  <c:v>1154</c:v>
                </c:pt>
                <c:pt idx="13">
                  <c:v>1186</c:v>
                </c:pt>
                <c:pt idx="14">
                  <c:v>1132</c:v>
                </c:pt>
                <c:pt idx="15">
                  <c:v>1125</c:v>
                </c:pt>
                <c:pt idx="16">
                  <c:v>1166</c:v>
                </c:pt>
                <c:pt idx="17">
                  <c:v>1125</c:v>
                </c:pt>
                <c:pt idx="18">
                  <c:v>1158</c:v>
                </c:pt>
                <c:pt idx="19">
                  <c:v>1157</c:v>
                </c:pt>
                <c:pt idx="20">
                  <c:v>1176</c:v>
                </c:pt>
                <c:pt idx="21">
                  <c:v>1198</c:v>
                </c:pt>
                <c:pt idx="22">
                  <c:v>1048</c:v>
                </c:pt>
                <c:pt idx="23">
                  <c:v>1058</c:v>
                </c:pt>
                <c:pt idx="24">
                  <c:v>1029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7AE-4D1D-8F8C-A328F4489342}"/>
            </c:ext>
          </c:extLst>
        </c:ser>
        <c:ser>
          <c:idx val="4"/>
          <c:order val="4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'Conductividad '!$J$20:$J$44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'!$O$20:$O$44</c:f>
              <c:numCache>
                <c:formatCode>General</c:formatCode>
                <c:ptCount val="25"/>
                <c:pt idx="0">
                  <c:v>1365</c:v>
                </c:pt>
                <c:pt idx="1">
                  <c:v>1759</c:v>
                </c:pt>
                <c:pt idx="2">
                  <c:v>1638</c:v>
                </c:pt>
                <c:pt idx="3">
                  <c:v>1638</c:v>
                </c:pt>
                <c:pt idx="4">
                  <c:v>2182</c:v>
                </c:pt>
                <c:pt idx="5">
                  <c:v>1924</c:v>
                </c:pt>
                <c:pt idx="6">
                  <c:v>1825</c:v>
                </c:pt>
                <c:pt idx="7">
                  <c:v>1759</c:v>
                </c:pt>
                <c:pt idx="8">
                  <c:v>1746</c:v>
                </c:pt>
                <c:pt idx="9">
                  <c:v>1948</c:v>
                </c:pt>
                <c:pt idx="10">
                  <c:v>1948</c:v>
                </c:pt>
                <c:pt idx="11">
                  <c:v>1807</c:v>
                </c:pt>
                <c:pt idx="12">
                  <c:v>1943</c:v>
                </c:pt>
                <c:pt idx="13">
                  <c:v>1950</c:v>
                </c:pt>
                <c:pt idx="14">
                  <c:v>1931</c:v>
                </c:pt>
                <c:pt idx="15">
                  <c:v>1927</c:v>
                </c:pt>
                <c:pt idx="16">
                  <c:v>1994</c:v>
                </c:pt>
                <c:pt idx="17">
                  <c:v>1994</c:v>
                </c:pt>
                <c:pt idx="18">
                  <c:v>1589</c:v>
                </c:pt>
                <c:pt idx="19">
                  <c:v>1807</c:v>
                </c:pt>
                <c:pt idx="20">
                  <c:v>1943</c:v>
                </c:pt>
                <c:pt idx="21">
                  <c:v>1950</c:v>
                </c:pt>
                <c:pt idx="22">
                  <c:v>1931</c:v>
                </c:pt>
                <c:pt idx="23">
                  <c:v>1927</c:v>
                </c:pt>
                <c:pt idx="24">
                  <c:v>1649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7AE-4D1D-8F8C-A328F4489342}"/>
            </c:ext>
          </c:extLst>
        </c:ser>
        <c:ser>
          <c:idx val="5"/>
          <c:order val="5"/>
          <c:tx>
            <c:v>Co-digestión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'Conductividad '!$J$20:$J$44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'Conductividad '!$P$20:$P$44</c:f>
              <c:numCache>
                <c:formatCode>General</c:formatCode>
                <c:ptCount val="25"/>
                <c:pt idx="0">
                  <c:v>3997</c:v>
                </c:pt>
                <c:pt idx="1">
                  <c:v>3759</c:v>
                </c:pt>
                <c:pt idx="2">
                  <c:v>3638</c:v>
                </c:pt>
                <c:pt idx="3">
                  <c:v>3638</c:v>
                </c:pt>
                <c:pt idx="4">
                  <c:v>3182</c:v>
                </c:pt>
                <c:pt idx="5">
                  <c:v>2924</c:v>
                </c:pt>
                <c:pt idx="6">
                  <c:v>2825</c:v>
                </c:pt>
                <c:pt idx="7">
                  <c:v>2759</c:v>
                </c:pt>
                <c:pt idx="8">
                  <c:v>2746</c:v>
                </c:pt>
                <c:pt idx="9">
                  <c:v>2948</c:v>
                </c:pt>
                <c:pt idx="10">
                  <c:v>2948</c:v>
                </c:pt>
                <c:pt idx="11">
                  <c:v>2807</c:v>
                </c:pt>
                <c:pt idx="12">
                  <c:v>2943</c:v>
                </c:pt>
                <c:pt idx="13">
                  <c:v>2950</c:v>
                </c:pt>
                <c:pt idx="14">
                  <c:v>2931</c:v>
                </c:pt>
                <c:pt idx="15">
                  <c:v>2927</c:v>
                </c:pt>
                <c:pt idx="16">
                  <c:v>2994</c:v>
                </c:pt>
                <c:pt idx="17">
                  <c:v>2994</c:v>
                </c:pt>
                <c:pt idx="18">
                  <c:v>2589</c:v>
                </c:pt>
                <c:pt idx="19">
                  <c:v>2807</c:v>
                </c:pt>
                <c:pt idx="20">
                  <c:v>2943</c:v>
                </c:pt>
                <c:pt idx="21">
                  <c:v>2950</c:v>
                </c:pt>
                <c:pt idx="22">
                  <c:v>2931</c:v>
                </c:pt>
                <c:pt idx="23">
                  <c:v>2927</c:v>
                </c:pt>
                <c:pt idx="24">
                  <c:v>2840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7AE-4D1D-8F8C-A328F448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301152"/>
        <c:axId val="-2134295504"/>
      </c:scatterChart>
      <c:valAx>
        <c:axId val="-2134301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295504"/>
        <c:crosses val="autoZero"/>
        <c:crossBetween val="midCat"/>
      </c:valAx>
      <c:valAx>
        <c:axId val="-213429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Conductividad eléctrica </a:t>
                </a:r>
                <a:r>
                  <a:rPr lang="es-ES_tradnl" sz="1000" b="0" i="0" u="none" strike="noStrike" baseline="0">
                    <a:effectLst/>
                  </a:rPr>
                  <a:t>(us/cm)</a:t>
                </a:r>
                <a:r>
                  <a:rPr lang="es-ES_tradnl" sz="1000" b="0" i="0" u="none" strike="noStrike" baseline="0"/>
                  <a:t> 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301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Digestor sin serpentín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REDOX!$A$20:$A$44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REDOX!$B$20:$B$39</c:f>
              <c:numCache>
                <c:formatCode>0.0</c:formatCode>
                <c:ptCount val="20"/>
                <c:pt idx="0" formatCode="General">
                  <c:v>-242.7</c:v>
                </c:pt>
                <c:pt idx="1">
                  <c:v>-260</c:v>
                </c:pt>
                <c:pt idx="2" formatCode="General">
                  <c:v>-268.60000000000002</c:v>
                </c:pt>
                <c:pt idx="3" formatCode="General">
                  <c:v>-271.3</c:v>
                </c:pt>
                <c:pt idx="4" formatCode="General">
                  <c:v>-278.60000000000002</c:v>
                </c:pt>
                <c:pt idx="5" formatCode="General">
                  <c:v>-280.89999999999998</c:v>
                </c:pt>
                <c:pt idx="6" formatCode="General">
                  <c:v>-280.89999999999998</c:v>
                </c:pt>
                <c:pt idx="7" formatCode="General">
                  <c:v>-293.10000000000002</c:v>
                </c:pt>
                <c:pt idx="8" formatCode="General">
                  <c:v>-312.7</c:v>
                </c:pt>
                <c:pt idx="9" formatCode="General">
                  <c:v>-322.7</c:v>
                </c:pt>
                <c:pt idx="10" formatCode="General">
                  <c:v>-327.60000000000002</c:v>
                </c:pt>
                <c:pt idx="11" formatCode="General">
                  <c:v>-315.89999999999998</c:v>
                </c:pt>
                <c:pt idx="12" formatCode="General">
                  <c:v>-312.2</c:v>
                </c:pt>
                <c:pt idx="13" formatCode="General">
                  <c:v>-312.2</c:v>
                </c:pt>
                <c:pt idx="14" formatCode="General">
                  <c:v>-305.5</c:v>
                </c:pt>
                <c:pt idx="15" formatCode="General">
                  <c:v>-292.10000000000002</c:v>
                </c:pt>
                <c:pt idx="16" formatCode="General">
                  <c:v>-292.10000000000002</c:v>
                </c:pt>
                <c:pt idx="17" formatCode="General">
                  <c:v>-292.10000000000002</c:v>
                </c:pt>
                <c:pt idx="18" formatCode="General">
                  <c:v>-282.2</c:v>
                </c:pt>
                <c:pt idx="19" formatCode="General">
                  <c:v>-295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75-4111-A0AC-6F017A0E31FE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REDOX!$A$20:$A$44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REDOX!$C$20:$C$44</c:f>
              <c:numCache>
                <c:formatCode>0.0</c:formatCode>
                <c:ptCount val="25"/>
                <c:pt idx="0" formatCode="General">
                  <c:v>-252.4</c:v>
                </c:pt>
                <c:pt idx="1">
                  <c:v>-258</c:v>
                </c:pt>
                <c:pt idx="2" formatCode="General">
                  <c:v>-265.2</c:v>
                </c:pt>
                <c:pt idx="3" formatCode="General">
                  <c:v>-276.10000000000002</c:v>
                </c:pt>
                <c:pt idx="4" formatCode="General">
                  <c:v>-276.10000000000002</c:v>
                </c:pt>
                <c:pt idx="5" formatCode="General">
                  <c:v>-278.89999999999998</c:v>
                </c:pt>
                <c:pt idx="6" formatCode="General">
                  <c:v>-282.60000000000002</c:v>
                </c:pt>
                <c:pt idx="7" formatCode="General">
                  <c:v>-293.2</c:v>
                </c:pt>
                <c:pt idx="8" formatCode="General">
                  <c:v>-312.89999999999998</c:v>
                </c:pt>
                <c:pt idx="9" formatCode="General">
                  <c:v>-321.10000000000002</c:v>
                </c:pt>
                <c:pt idx="10" formatCode="General">
                  <c:v>-327.60000000000002</c:v>
                </c:pt>
                <c:pt idx="11" formatCode="General">
                  <c:v>-327.60000000000002</c:v>
                </c:pt>
                <c:pt idx="12" formatCode="General">
                  <c:v>-332.3</c:v>
                </c:pt>
                <c:pt idx="13" formatCode="General">
                  <c:v>-338.1</c:v>
                </c:pt>
                <c:pt idx="14" formatCode="General">
                  <c:v>-345.5</c:v>
                </c:pt>
                <c:pt idx="15" formatCode="General">
                  <c:v>-352.3</c:v>
                </c:pt>
                <c:pt idx="16" formatCode="General">
                  <c:v>-359.1</c:v>
                </c:pt>
                <c:pt idx="17" formatCode="General">
                  <c:v>-364.2</c:v>
                </c:pt>
                <c:pt idx="18" formatCode="General">
                  <c:v>-364.2</c:v>
                </c:pt>
                <c:pt idx="19" formatCode="General">
                  <c:v>-343.4</c:v>
                </c:pt>
                <c:pt idx="20" formatCode="General">
                  <c:v>-334.1</c:v>
                </c:pt>
                <c:pt idx="21" formatCode="General">
                  <c:v>-325.89999999999998</c:v>
                </c:pt>
                <c:pt idx="22" formatCode="General">
                  <c:v>-314.60000000000002</c:v>
                </c:pt>
                <c:pt idx="23" formatCode="General">
                  <c:v>-295.3</c:v>
                </c:pt>
                <c:pt idx="24" formatCode="General">
                  <c:v>-274.10000000000002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75-4111-A0AC-6F017A0E31FE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REDOX!$A$20:$A$44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REDOX!$D$20:$D$44</c:f>
              <c:numCache>
                <c:formatCode>General</c:formatCode>
                <c:ptCount val="25"/>
                <c:pt idx="0">
                  <c:v>-109.1</c:v>
                </c:pt>
                <c:pt idx="1">
                  <c:v>-133.69999999999999</c:v>
                </c:pt>
                <c:pt idx="2">
                  <c:v>-178.2</c:v>
                </c:pt>
                <c:pt idx="3">
                  <c:v>-194.4</c:v>
                </c:pt>
                <c:pt idx="4">
                  <c:v>-348.8</c:v>
                </c:pt>
                <c:pt idx="5">
                  <c:v>-243.5</c:v>
                </c:pt>
                <c:pt idx="6">
                  <c:v>-303.5</c:v>
                </c:pt>
                <c:pt idx="7">
                  <c:v>-220</c:v>
                </c:pt>
                <c:pt idx="8">
                  <c:v>-274.5</c:v>
                </c:pt>
                <c:pt idx="9">
                  <c:v>-328.4</c:v>
                </c:pt>
                <c:pt idx="10">
                  <c:v>-243</c:v>
                </c:pt>
                <c:pt idx="11">
                  <c:v>-259.2</c:v>
                </c:pt>
                <c:pt idx="12">
                  <c:v>-294.2</c:v>
                </c:pt>
                <c:pt idx="13">
                  <c:v>-319.39999999999998</c:v>
                </c:pt>
                <c:pt idx="14">
                  <c:v>-263.5</c:v>
                </c:pt>
                <c:pt idx="15">
                  <c:v>-310.10000000000002</c:v>
                </c:pt>
                <c:pt idx="16">
                  <c:v>-211.1</c:v>
                </c:pt>
                <c:pt idx="17">
                  <c:v>-317.3</c:v>
                </c:pt>
                <c:pt idx="18">
                  <c:v>-246.4</c:v>
                </c:pt>
                <c:pt idx="19">
                  <c:v>-276.3</c:v>
                </c:pt>
                <c:pt idx="20">
                  <c:v>-263.5</c:v>
                </c:pt>
                <c:pt idx="21">
                  <c:v>-310.10000000000002</c:v>
                </c:pt>
                <c:pt idx="22">
                  <c:v>-211.1</c:v>
                </c:pt>
                <c:pt idx="23">
                  <c:v>-317.3</c:v>
                </c:pt>
                <c:pt idx="24">
                  <c:v>-243.5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75-4111-A0AC-6F017A0E31FE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REDOX!$A$20:$A$44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REDOX!$E$20:$E$44</c:f>
              <c:numCache>
                <c:formatCode>General</c:formatCode>
                <c:ptCount val="25"/>
                <c:pt idx="0">
                  <c:v>-107.3</c:v>
                </c:pt>
                <c:pt idx="1">
                  <c:v>-172.5</c:v>
                </c:pt>
                <c:pt idx="2">
                  <c:v>-172.5</c:v>
                </c:pt>
                <c:pt idx="3">
                  <c:v>-203.1</c:v>
                </c:pt>
                <c:pt idx="4">
                  <c:v>-238.4</c:v>
                </c:pt>
                <c:pt idx="5">
                  <c:v>-238.4</c:v>
                </c:pt>
                <c:pt idx="6">
                  <c:v>-238.4</c:v>
                </c:pt>
                <c:pt idx="7">
                  <c:v>-302.39999999999998</c:v>
                </c:pt>
                <c:pt idx="8">
                  <c:v>-302.39999999999998</c:v>
                </c:pt>
                <c:pt idx="9">
                  <c:v>-298.10000000000002</c:v>
                </c:pt>
                <c:pt idx="10">
                  <c:v>-312.3</c:v>
                </c:pt>
                <c:pt idx="11">
                  <c:v>-312.3</c:v>
                </c:pt>
                <c:pt idx="12">
                  <c:v>-276.39999999999998</c:v>
                </c:pt>
                <c:pt idx="13">
                  <c:v>-281.39999999999998</c:v>
                </c:pt>
                <c:pt idx="14">
                  <c:v>-338.2</c:v>
                </c:pt>
                <c:pt idx="15">
                  <c:v>-338.2</c:v>
                </c:pt>
                <c:pt idx="16">
                  <c:v>-297.39999999999998</c:v>
                </c:pt>
                <c:pt idx="17">
                  <c:v>-203.1</c:v>
                </c:pt>
                <c:pt idx="18">
                  <c:v>-238.4</c:v>
                </c:pt>
                <c:pt idx="19">
                  <c:v>-238.4</c:v>
                </c:pt>
                <c:pt idx="20">
                  <c:v>-238.4</c:v>
                </c:pt>
                <c:pt idx="21">
                  <c:v>-302.39999999999998</c:v>
                </c:pt>
                <c:pt idx="22">
                  <c:v>-302.39999999999998</c:v>
                </c:pt>
                <c:pt idx="23">
                  <c:v>-298.10000000000002</c:v>
                </c:pt>
                <c:pt idx="24">
                  <c:v>-281.39999999999998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75-4111-A0AC-6F017A0E31FE}"/>
            </c:ext>
          </c:extLst>
        </c:ser>
        <c:ser>
          <c:idx val="4"/>
          <c:order val="4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REDOX!$A$20:$A$44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REDOX!$F$20:$F$44</c:f>
              <c:numCache>
                <c:formatCode>General</c:formatCode>
                <c:ptCount val="25"/>
                <c:pt idx="0">
                  <c:v>-271.60000000000002</c:v>
                </c:pt>
                <c:pt idx="1">
                  <c:v>-298.7</c:v>
                </c:pt>
                <c:pt idx="2">
                  <c:v>-300.2</c:v>
                </c:pt>
                <c:pt idx="3">
                  <c:v>-300.2</c:v>
                </c:pt>
                <c:pt idx="4">
                  <c:v>-297.10000000000002</c:v>
                </c:pt>
                <c:pt idx="5">
                  <c:v>-310.2</c:v>
                </c:pt>
                <c:pt idx="6">
                  <c:v>-285.5</c:v>
                </c:pt>
                <c:pt idx="7">
                  <c:v>-276.39999999999998</c:v>
                </c:pt>
                <c:pt idx="8">
                  <c:v>-250.1</c:v>
                </c:pt>
                <c:pt idx="9">
                  <c:v>-276.5</c:v>
                </c:pt>
                <c:pt idx="10">
                  <c:v>-276.5</c:v>
                </c:pt>
                <c:pt idx="11">
                  <c:v>-300.2</c:v>
                </c:pt>
                <c:pt idx="12">
                  <c:v>-305.10000000000002</c:v>
                </c:pt>
                <c:pt idx="13">
                  <c:v>-305.10000000000002</c:v>
                </c:pt>
                <c:pt idx="14">
                  <c:v>-296.39999999999998</c:v>
                </c:pt>
                <c:pt idx="15">
                  <c:v>-286.5</c:v>
                </c:pt>
                <c:pt idx="16">
                  <c:v>-299.5</c:v>
                </c:pt>
                <c:pt idx="17">
                  <c:v>-299.5</c:v>
                </c:pt>
                <c:pt idx="18">
                  <c:v>-314.5</c:v>
                </c:pt>
                <c:pt idx="19">
                  <c:v>-295.5</c:v>
                </c:pt>
                <c:pt idx="20">
                  <c:v>-300.10000000000002</c:v>
                </c:pt>
                <c:pt idx="21">
                  <c:v>-294.5</c:v>
                </c:pt>
                <c:pt idx="22">
                  <c:v>-300</c:v>
                </c:pt>
                <c:pt idx="23">
                  <c:v>-295.2</c:v>
                </c:pt>
                <c:pt idx="24">
                  <c:v>-299.89999999999998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75-4111-A0AC-6F017A0E31FE}"/>
            </c:ext>
          </c:extLst>
        </c:ser>
        <c:ser>
          <c:idx val="5"/>
          <c:order val="5"/>
          <c:tx>
            <c:v>Co-digestión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REDOX!$A$20:$A$44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REDOX!$G$20:$G$44</c:f>
              <c:numCache>
                <c:formatCode>General</c:formatCode>
                <c:ptCount val="25"/>
                <c:pt idx="0">
                  <c:v>-250.3</c:v>
                </c:pt>
                <c:pt idx="1">
                  <c:v>-295.3</c:v>
                </c:pt>
                <c:pt idx="2">
                  <c:v>-300.2</c:v>
                </c:pt>
                <c:pt idx="3">
                  <c:v>-300.2</c:v>
                </c:pt>
                <c:pt idx="4">
                  <c:v>-297.10000000000002</c:v>
                </c:pt>
                <c:pt idx="5">
                  <c:v>-310.2</c:v>
                </c:pt>
                <c:pt idx="6">
                  <c:v>-298.10000000000002</c:v>
                </c:pt>
                <c:pt idx="7">
                  <c:v>-302.3</c:v>
                </c:pt>
                <c:pt idx="8">
                  <c:v>-297.3</c:v>
                </c:pt>
                <c:pt idx="9">
                  <c:v>-298.39999999999998</c:v>
                </c:pt>
                <c:pt idx="10">
                  <c:v>-279.3</c:v>
                </c:pt>
                <c:pt idx="11">
                  <c:v>-299.3</c:v>
                </c:pt>
                <c:pt idx="12">
                  <c:v>-296.5</c:v>
                </c:pt>
                <c:pt idx="13">
                  <c:v>-299.3</c:v>
                </c:pt>
                <c:pt idx="14">
                  <c:v>-300.3</c:v>
                </c:pt>
                <c:pt idx="15">
                  <c:v>-298.3</c:v>
                </c:pt>
                <c:pt idx="16">
                  <c:v>-299.5</c:v>
                </c:pt>
                <c:pt idx="17">
                  <c:v>-297.39999999999998</c:v>
                </c:pt>
                <c:pt idx="18">
                  <c:v>-302.10000000000002</c:v>
                </c:pt>
                <c:pt idx="19">
                  <c:v>-298.3</c:v>
                </c:pt>
                <c:pt idx="20">
                  <c:v>-299.10000000000002</c:v>
                </c:pt>
                <c:pt idx="21">
                  <c:v>-298.3</c:v>
                </c:pt>
                <c:pt idx="22">
                  <c:v>-297.5</c:v>
                </c:pt>
                <c:pt idx="23">
                  <c:v>-297.3</c:v>
                </c:pt>
                <c:pt idx="24">
                  <c:v>-298.3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75-4111-A0AC-6F017A0E3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080432"/>
        <c:axId val="-2135074784"/>
      </c:scatterChart>
      <c:valAx>
        <c:axId val="-2135080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074784"/>
        <c:crosses val="autoZero"/>
        <c:crossBetween val="midCat"/>
      </c:valAx>
      <c:valAx>
        <c:axId val="-213507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Potencial Redox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080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aseline="0"/>
              <a:t>Digestor con serpentín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REDOX!$J$20:$J$44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REDOX!$K$20:$K$39</c:f>
              <c:numCache>
                <c:formatCode>General</c:formatCode>
                <c:ptCount val="20"/>
                <c:pt idx="0" formatCode="0.0">
                  <c:v>-193.2</c:v>
                </c:pt>
                <c:pt idx="1">
                  <c:v>-197.3</c:v>
                </c:pt>
                <c:pt idx="2">
                  <c:v>-201.2</c:v>
                </c:pt>
                <c:pt idx="3">
                  <c:v>-228.3</c:v>
                </c:pt>
                <c:pt idx="4">
                  <c:v>-230.1</c:v>
                </c:pt>
                <c:pt idx="5">
                  <c:v>-232.7</c:v>
                </c:pt>
                <c:pt idx="6">
                  <c:v>-232.7</c:v>
                </c:pt>
                <c:pt idx="7">
                  <c:v>-201.2</c:v>
                </c:pt>
                <c:pt idx="8">
                  <c:v>-239.9</c:v>
                </c:pt>
                <c:pt idx="9">
                  <c:v>-242.7</c:v>
                </c:pt>
                <c:pt idx="10">
                  <c:v>-228.3</c:v>
                </c:pt>
                <c:pt idx="11">
                  <c:v>-225.1</c:v>
                </c:pt>
                <c:pt idx="12">
                  <c:v>-225.1</c:v>
                </c:pt>
                <c:pt idx="13">
                  <c:v>-297.2</c:v>
                </c:pt>
                <c:pt idx="14">
                  <c:v>-320.10000000000002</c:v>
                </c:pt>
                <c:pt idx="15">
                  <c:v>-275.39999999999998</c:v>
                </c:pt>
                <c:pt idx="16">
                  <c:v>-230.1</c:v>
                </c:pt>
                <c:pt idx="17">
                  <c:v>-232.7</c:v>
                </c:pt>
                <c:pt idx="18">
                  <c:v>-232.7</c:v>
                </c:pt>
                <c:pt idx="19">
                  <c:v>-255.3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52-48C8-B72F-727800DFCEE2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REDOX!$J$20:$J$44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REDOX!$L$20:$L$44</c:f>
              <c:numCache>
                <c:formatCode>General</c:formatCode>
                <c:ptCount val="25"/>
                <c:pt idx="0" formatCode="0.0">
                  <c:v>-198.8</c:v>
                </c:pt>
                <c:pt idx="1">
                  <c:v>-201.4</c:v>
                </c:pt>
                <c:pt idx="2">
                  <c:v>-206.3</c:v>
                </c:pt>
                <c:pt idx="3">
                  <c:v>-208.6</c:v>
                </c:pt>
                <c:pt idx="4">
                  <c:v>-208.6</c:v>
                </c:pt>
                <c:pt idx="5">
                  <c:v>-213.8</c:v>
                </c:pt>
                <c:pt idx="6">
                  <c:v>-216.4</c:v>
                </c:pt>
                <c:pt idx="7">
                  <c:v>-235.7</c:v>
                </c:pt>
                <c:pt idx="8">
                  <c:v>-256.5</c:v>
                </c:pt>
                <c:pt idx="9">
                  <c:v>-267.2</c:v>
                </c:pt>
                <c:pt idx="10">
                  <c:v>-286.10000000000002</c:v>
                </c:pt>
                <c:pt idx="11">
                  <c:v>-286.10000000000002</c:v>
                </c:pt>
                <c:pt idx="12">
                  <c:v>-297.5</c:v>
                </c:pt>
                <c:pt idx="13">
                  <c:v>-305.10000000000002</c:v>
                </c:pt>
                <c:pt idx="14">
                  <c:v>-326.8</c:v>
                </c:pt>
                <c:pt idx="15">
                  <c:v>-345.7</c:v>
                </c:pt>
                <c:pt idx="16">
                  <c:v>-356.8</c:v>
                </c:pt>
                <c:pt idx="17">
                  <c:v>-367.2</c:v>
                </c:pt>
                <c:pt idx="18">
                  <c:v>-367.2</c:v>
                </c:pt>
                <c:pt idx="19">
                  <c:v>-337.6</c:v>
                </c:pt>
                <c:pt idx="20">
                  <c:v>-328.2</c:v>
                </c:pt>
                <c:pt idx="21">
                  <c:v>-325.10000000000002</c:v>
                </c:pt>
                <c:pt idx="22">
                  <c:v>-312.39999999999998</c:v>
                </c:pt>
                <c:pt idx="23">
                  <c:v>-294.2</c:v>
                </c:pt>
                <c:pt idx="24">
                  <c:v>-281.89999999999998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52-48C8-B72F-727800DFCEE2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REDOX!$J$20:$J$44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REDOX!$M$20:$M$44</c:f>
              <c:numCache>
                <c:formatCode>General</c:formatCode>
                <c:ptCount val="25"/>
                <c:pt idx="0">
                  <c:v>-130.1</c:v>
                </c:pt>
                <c:pt idx="1">
                  <c:v>-222.2</c:v>
                </c:pt>
                <c:pt idx="2">
                  <c:v>-189.1</c:v>
                </c:pt>
                <c:pt idx="3">
                  <c:v>-180.4</c:v>
                </c:pt>
                <c:pt idx="4">
                  <c:v>-254.5</c:v>
                </c:pt>
                <c:pt idx="5">
                  <c:v>-290.8</c:v>
                </c:pt>
                <c:pt idx="6">
                  <c:v>-340.1</c:v>
                </c:pt>
                <c:pt idx="7">
                  <c:v>-275.39999999999998</c:v>
                </c:pt>
                <c:pt idx="8">
                  <c:v>-220.9</c:v>
                </c:pt>
                <c:pt idx="9">
                  <c:v>-302.39999999999998</c:v>
                </c:pt>
                <c:pt idx="10">
                  <c:v>-302.7</c:v>
                </c:pt>
                <c:pt idx="11">
                  <c:v>-354.3</c:v>
                </c:pt>
                <c:pt idx="12">
                  <c:v>-348.1</c:v>
                </c:pt>
                <c:pt idx="13">
                  <c:v>-285.39999999999998</c:v>
                </c:pt>
                <c:pt idx="14">
                  <c:v>-314.5</c:v>
                </c:pt>
                <c:pt idx="15">
                  <c:v>-298.2</c:v>
                </c:pt>
                <c:pt idx="16">
                  <c:v>-273.5</c:v>
                </c:pt>
                <c:pt idx="17">
                  <c:v>-309</c:v>
                </c:pt>
                <c:pt idx="18">
                  <c:v>-295.10000000000002</c:v>
                </c:pt>
                <c:pt idx="19">
                  <c:v>-289.3</c:v>
                </c:pt>
                <c:pt idx="20">
                  <c:v>-285.39999999999998</c:v>
                </c:pt>
                <c:pt idx="21">
                  <c:v>-314.5</c:v>
                </c:pt>
                <c:pt idx="22">
                  <c:v>-298.2</c:v>
                </c:pt>
                <c:pt idx="23">
                  <c:v>-273.5</c:v>
                </c:pt>
                <c:pt idx="24">
                  <c:v>-295.10000000000002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52-48C8-B72F-727800DFCEE2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REDOX!$J$20:$J$44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REDOX!$N$20:$N$44</c:f>
              <c:numCache>
                <c:formatCode>General</c:formatCode>
                <c:ptCount val="25"/>
                <c:pt idx="0">
                  <c:v>-192.4</c:v>
                </c:pt>
                <c:pt idx="1">
                  <c:v>-225.1</c:v>
                </c:pt>
                <c:pt idx="2">
                  <c:v>-225.1</c:v>
                </c:pt>
                <c:pt idx="3">
                  <c:v>-297.2</c:v>
                </c:pt>
                <c:pt idx="4">
                  <c:v>-312.10000000000002</c:v>
                </c:pt>
                <c:pt idx="5">
                  <c:v>-312.10000000000002</c:v>
                </c:pt>
                <c:pt idx="6">
                  <c:v>-312.10000000000002</c:v>
                </c:pt>
                <c:pt idx="7">
                  <c:v>-328.7</c:v>
                </c:pt>
                <c:pt idx="8">
                  <c:v>-328.7</c:v>
                </c:pt>
                <c:pt idx="9">
                  <c:v>-327.39999999999998</c:v>
                </c:pt>
                <c:pt idx="10">
                  <c:v>-315.10000000000002</c:v>
                </c:pt>
                <c:pt idx="11">
                  <c:v>-315.10000000000002</c:v>
                </c:pt>
                <c:pt idx="12">
                  <c:v>-330.1</c:v>
                </c:pt>
                <c:pt idx="13">
                  <c:v>-341.5</c:v>
                </c:pt>
                <c:pt idx="14">
                  <c:v>-329.3</c:v>
                </c:pt>
                <c:pt idx="15">
                  <c:v>-329.3</c:v>
                </c:pt>
                <c:pt idx="16">
                  <c:v>-319.2</c:v>
                </c:pt>
                <c:pt idx="17">
                  <c:v>-319.2</c:v>
                </c:pt>
                <c:pt idx="18">
                  <c:v>-328.7</c:v>
                </c:pt>
                <c:pt idx="19">
                  <c:v>-327.39999999999998</c:v>
                </c:pt>
                <c:pt idx="20">
                  <c:v>-315.10000000000002</c:v>
                </c:pt>
                <c:pt idx="21">
                  <c:v>-315.10000000000002</c:v>
                </c:pt>
                <c:pt idx="22">
                  <c:v>-225.1</c:v>
                </c:pt>
                <c:pt idx="23">
                  <c:v>-297.2</c:v>
                </c:pt>
                <c:pt idx="24">
                  <c:v>-329.3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52-48C8-B72F-727800DFCEE2}"/>
            </c:ext>
          </c:extLst>
        </c:ser>
        <c:ser>
          <c:idx val="4"/>
          <c:order val="4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REDOX!$J$20:$J$44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REDOX!$O$20:$O$44</c:f>
              <c:numCache>
                <c:formatCode>General</c:formatCode>
                <c:ptCount val="25"/>
                <c:pt idx="0">
                  <c:v>-276.8</c:v>
                </c:pt>
                <c:pt idx="1">
                  <c:v>-275.89999999999998</c:v>
                </c:pt>
                <c:pt idx="2">
                  <c:v>-287.8</c:v>
                </c:pt>
                <c:pt idx="3">
                  <c:v>-287.8</c:v>
                </c:pt>
                <c:pt idx="4">
                  <c:v>-315.8</c:v>
                </c:pt>
                <c:pt idx="5">
                  <c:v>-284.5</c:v>
                </c:pt>
                <c:pt idx="6">
                  <c:v>-294.89999999999998</c:v>
                </c:pt>
                <c:pt idx="7">
                  <c:v>-307.60000000000002</c:v>
                </c:pt>
                <c:pt idx="8">
                  <c:v>-258.10000000000002</c:v>
                </c:pt>
                <c:pt idx="9">
                  <c:v>-295.5</c:v>
                </c:pt>
                <c:pt idx="10">
                  <c:v>-295.5</c:v>
                </c:pt>
                <c:pt idx="11">
                  <c:v>-293</c:v>
                </c:pt>
                <c:pt idx="12">
                  <c:v>-300</c:v>
                </c:pt>
                <c:pt idx="13">
                  <c:v>-285.89999999999998</c:v>
                </c:pt>
                <c:pt idx="14">
                  <c:v>-297.10000000000002</c:v>
                </c:pt>
                <c:pt idx="15">
                  <c:v>-301.39999999999998</c:v>
                </c:pt>
                <c:pt idx="16">
                  <c:v>-302.60000000000002</c:v>
                </c:pt>
                <c:pt idx="17">
                  <c:v>-302.60000000000002</c:v>
                </c:pt>
                <c:pt idx="18">
                  <c:v>-299</c:v>
                </c:pt>
                <c:pt idx="19">
                  <c:v>-302.89999999999998</c:v>
                </c:pt>
                <c:pt idx="20">
                  <c:v>-310.2</c:v>
                </c:pt>
                <c:pt idx="21">
                  <c:v>-278.8</c:v>
                </c:pt>
                <c:pt idx="22">
                  <c:v>-298.39999999999998</c:v>
                </c:pt>
                <c:pt idx="23">
                  <c:v>-301.39999999999998</c:v>
                </c:pt>
                <c:pt idx="24">
                  <c:v>-299.39999999999998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052-48C8-B72F-727800DFCEE2}"/>
            </c:ext>
          </c:extLst>
        </c:ser>
        <c:ser>
          <c:idx val="5"/>
          <c:order val="5"/>
          <c:tx>
            <c:v>Co-digestión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REDOX!$J$20:$J$44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REDOX!$P$20:$P$44</c:f>
              <c:numCache>
                <c:formatCode>General</c:formatCode>
                <c:ptCount val="25"/>
                <c:pt idx="0">
                  <c:v>-289.3</c:v>
                </c:pt>
                <c:pt idx="1">
                  <c:v>-286.3</c:v>
                </c:pt>
                <c:pt idx="2">
                  <c:v>-297.3</c:v>
                </c:pt>
                <c:pt idx="3">
                  <c:v>-289.3</c:v>
                </c:pt>
                <c:pt idx="4">
                  <c:v>-300.10000000000002</c:v>
                </c:pt>
                <c:pt idx="5">
                  <c:v>-294.3</c:v>
                </c:pt>
                <c:pt idx="6">
                  <c:v>-294.89999999999998</c:v>
                </c:pt>
                <c:pt idx="7">
                  <c:v>-300.2</c:v>
                </c:pt>
                <c:pt idx="8">
                  <c:v>-298.3</c:v>
                </c:pt>
                <c:pt idx="9">
                  <c:v>-302.3</c:v>
                </c:pt>
                <c:pt idx="10">
                  <c:v>-305.3</c:v>
                </c:pt>
                <c:pt idx="11">
                  <c:v>-300.10000000000002</c:v>
                </c:pt>
                <c:pt idx="12">
                  <c:v>-299.89999999999998</c:v>
                </c:pt>
                <c:pt idx="13">
                  <c:v>-298.3</c:v>
                </c:pt>
                <c:pt idx="14">
                  <c:v>-305.3</c:v>
                </c:pt>
                <c:pt idx="15">
                  <c:v>-306.2</c:v>
                </c:pt>
                <c:pt idx="16">
                  <c:v>-305.2</c:v>
                </c:pt>
                <c:pt idx="17">
                  <c:v>-300</c:v>
                </c:pt>
                <c:pt idx="18">
                  <c:v>-298</c:v>
                </c:pt>
                <c:pt idx="19">
                  <c:v>-304.2</c:v>
                </c:pt>
                <c:pt idx="20">
                  <c:v>-310.2</c:v>
                </c:pt>
                <c:pt idx="21">
                  <c:v>-299.8</c:v>
                </c:pt>
                <c:pt idx="22">
                  <c:v>-304.10000000000002</c:v>
                </c:pt>
                <c:pt idx="23">
                  <c:v>-307</c:v>
                </c:pt>
                <c:pt idx="24">
                  <c:v>-306.2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052-48C8-B72F-727800DF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184048"/>
        <c:axId val="-2134178400"/>
      </c:scatterChart>
      <c:valAx>
        <c:axId val="-213418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178400"/>
        <c:crosses val="autoZero"/>
        <c:crossBetween val="midCat"/>
      </c:valAx>
      <c:valAx>
        <c:axId val="-213417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Potencial redox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184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Lodos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'Alcalinidad Total'!$D$6</c:f>
              <c:numCache>
                <c:formatCode>0.000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F-489D-A379-42CD57A478FA}"/>
            </c:ext>
          </c:extLst>
        </c:ser>
        <c:ser>
          <c:idx val="1"/>
          <c:order val="1"/>
          <c:tx>
            <c:v>Lodos + Inóculo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'Alcalinidad Total'!$E$6</c:f>
              <c:numCache>
                <c:formatCode>0.000</c:formatCode>
                <c:ptCount val="1"/>
                <c:pt idx="0">
                  <c:v>543.41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F-489D-A379-42CD57A478FA}"/>
            </c:ext>
          </c:extLst>
        </c:ser>
        <c:ser>
          <c:idx val="2"/>
          <c:order val="2"/>
          <c:tx>
            <c:v>Lodos + Inóculo + Estiércol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'Alcalinidad Total'!$F$6</c:f>
              <c:numCache>
                <c:formatCode>0.000</c:formatCode>
                <c:ptCount val="1"/>
                <c:pt idx="0">
                  <c:v>1122.9100000000001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F-489D-A379-42CD57A478FA}"/>
            </c:ext>
          </c:extLst>
        </c:ser>
        <c:ser>
          <c:idx val="3"/>
          <c:order val="3"/>
          <c:tx>
            <c:v>Lodos + Inóculo + Estiércol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'Alcalinidad Total'!$G$6</c:f>
              <c:numCache>
                <c:formatCode>General</c:formatCode>
                <c:ptCount val="1"/>
                <c:pt idx="0">
                  <c:v>1531.97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8F-489D-A379-42CD57A4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4270880"/>
        <c:axId val="-2135118864"/>
      </c:barChart>
      <c:catAx>
        <c:axId val="-2134270880"/>
        <c:scaling>
          <c:orientation val="minMax"/>
        </c:scaling>
        <c:delete val="1"/>
        <c:axPos val="l"/>
        <c:majorTickMark val="none"/>
        <c:minorTickMark val="none"/>
        <c:tickLblPos val="nextTo"/>
        <c:crossAx val="-2135118864"/>
        <c:crosses val="autoZero"/>
        <c:auto val="1"/>
        <c:lblAlgn val="ctr"/>
        <c:lblOffset val="100"/>
        <c:noMultiLvlLbl val="0"/>
      </c:catAx>
      <c:valAx>
        <c:axId val="-2135118864"/>
        <c:scaling>
          <c:orientation val="minMax"/>
          <c:max val="2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Alcalinidad total</a:t>
                </a:r>
                <a:r>
                  <a:rPr lang="es-ES_tradnl" baseline="0"/>
                  <a:t> (mg/CaCO</a:t>
                </a:r>
                <a:r>
                  <a:rPr lang="es-ES_tradnl" sz="800" baseline="0"/>
                  <a:t>3</a:t>
                </a:r>
                <a:r>
                  <a:rPr lang="es-ES_tradnl" sz="1000" baseline="0"/>
                  <a:t>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270880"/>
        <c:crosses val="autoZero"/>
        <c:crossBetween val="between"/>
        <c:majorUnit val="200"/>
        <c:minorUnit val="2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Lodos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'Alcalinidad Total'!$D$12</c:f>
              <c:numCache>
                <c:formatCode>0.000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8-4ACF-A738-6340C180C939}"/>
            </c:ext>
          </c:extLst>
        </c:ser>
        <c:ser>
          <c:idx val="1"/>
          <c:order val="1"/>
          <c:tx>
            <c:v>Lodos + Inóculo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'Alcalinidad Total'!$E$12</c:f>
              <c:numCache>
                <c:formatCode>0.000</c:formatCode>
                <c:ptCount val="1"/>
                <c:pt idx="0">
                  <c:v>607.35900000000004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8-4ACF-A738-6340C180C939}"/>
            </c:ext>
          </c:extLst>
        </c:ser>
        <c:ser>
          <c:idx val="2"/>
          <c:order val="2"/>
          <c:tx>
            <c:v>Lodos + Inóculo + Estiércol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'Alcalinidad Total'!$F$12</c:f>
              <c:numCache>
                <c:formatCode>0.000</c:formatCode>
                <c:ptCount val="1"/>
                <c:pt idx="0">
                  <c:v>1287.3399999999999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E8-4ACF-A738-6340C180C939}"/>
            </c:ext>
          </c:extLst>
        </c:ser>
        <c:ser>
          <c:idx val="3"/>
          <c:order val="3"/>
          <c:tx>
            <c:v>Lodos + Inóculo + Estiércol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'Alcalinidad Total'!$G$12</c:f>
              <c:numCache>
                <c:formatCode>General</c:formatCode>
                <c:ptCount val="1"/>
                <c:pt idx="0">
                  <c:v>2169.63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E8-4ACF-A738-6340C180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009408"/>
        <c:axId val="-2135006320"/>
      </c:barChart>
      <c:catAx>
        <c:axId val="-2135009408"/>
        <c:scaling>
          <c:orientation val="minMax"/>
        </c:scaling>
        <c:delete val="1"/>
        <c:axPos val="l"/>
        <c:majorTickMark val="none"/>
        <c:minorTickMark val="none"/>
        <c:tickLblPos val="nextTo"/>
        <c:crossAx val="-2135006320"/>
        <c:crosses val="autoZero"/>
        <c:auto val="1"/>
        <c:lblAlgn val="ctr"/>
        <c:lblOffset val="100"/>
        <c:noMultiLvlLbl val="0"/>
      </c:catAx>
      <c:valAx>
        <c:axId val="-2135006320"/>
        <c:scaling>
          <c:orientation val="minMax"/>
          <c:max val="2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Alcalinidad total</a:t>
                </a:r>
                <a:r>
                  <a:rPr lang="es-ES_tradnl" baseline="0"/>
                  <a:t> (mg/CaCO</a:t>
                </a:r>
                <a:r>
                  <a:rPr lang="es-ES_tradnl" sz="800" baseline="0"/>
                  <a:t>3</a:t>
                </a:r>
                <a:r>
                  <a:rPr lang="es-ES_tradnl" sz="1000" baseline="0"/>
                  <a:t>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0094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Biogás!$A$20:$A$44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Biogás!$B$20:$B$39</c:f>
              <c:numCache>
                <c:formatCode>0.0</c:formatCode>
                <c:ptCount val="20"/>
                <c:pt idx="0" formatCode="General">
                  <c:v>15.1</c:v>
                </c:pt>
                <c:pt idx="1">
                  <c:v>19</c:v>
                </c:pt>
                <c:pt idx="2" formatCode="General">
                  <c:v>23.2</c:v>
                </c:pt>
                <c:pt idx="3" formatCode="General">
                  <c:v>27.4</c:v>
                </c:pt>
                <c:pt idx="4" formatCode="General">
                  <c:v>31.9</c:v>
                </c:pt>
                <c:pt idx="5" formatCode="General">
                  <c:v>36.799999999999997</c:v>
                </c:pt>
                <c:pt idx="6" formatCode="General">
                  <c:v>39.1</c:v>
                </c:pt>
                <c:pt idx="7" formatCode="General">
                  <c:v>43.4</c:v>
                </c:pt>
                <c:pt idx="8" formatCode="General">
                  <c:v>45.7</c:v>
                </c:pt>
                <c:pt idx="9" formatCode="General">
                  <c:v>49.1</c:v>
                </c:pt>
                <c:pt idx="10" formatCode="General">
                  <c:v>53.9</c:v>
                </c:pt>
                <c:pt idx="11" formatCode="General">
                  <c:v>55.3</c:v>
                </c:pt>
                <c:pt idx="12" formatCode="General">
                  <c:v>58.2</c:v>
                </c:pt>
                <c:pt idx="13" formatCode="General">
                  <c:v>59.2</c:v>
                </c:pt>
                <c:pt idx="14" formatCode="General">
                  <c:v>60.2</c:v>
                </c:pt>
                <c:pt idx="15" formatCode="General">
                  <c:v>62.1</c:v>
                </c:pt>
                <c:pt idx="16" formatCode="General">
                  <c:v>62.5</c:v>
                </c:pt>
                <c:pt idx="17" formatCode="General">
                  <c:v>62.9</c:v>
                </c:pt>
                <c:pt idx="18" formatCode="General">
                  <c:v>63.3</c:v>
                </c:pt>
                <c:pt idx="19" formatCode="General">
                  <c:v>63.7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89-48DA-B9E3-9B2B96352418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Biogás!$A$20:$A$44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Biogás!$C$20:$C$44</c:f>
              <c:numCache>
                <c:formatCode>0.0</c:formatCode>
                <c:ptCount val="25"/>
                <c:pt idx="0" formatCode="General">
                  <c:v>2.4</c:v>
                </c:pt>
                <c:pt idx="1">
                  <c:v>5.8</c:v>
                </c:pt>
                <c:pt idx="2" formatCode="General">
                  <c:v>12.4</c:v>
                </c:pt>
                <c:pt idx="3" formatCode="General">
                  <c:v>17.899999999999999</c:v>
                </c:pt>
                <c:pt idx="4" formatCode="General">
                  <c:v>18.5</c:v>
                </c:pt>
                <c:pt idx="5" formatCode="General">
                  <c:v>19.100000000000001</c:v>
                </c:pt>
                <c:pt idx="6" formatCode="General">
                  <c:v>22.4</c:v>
                </c:pt>
                <c:pt idx="7" formatCode="General">
                  <c:v>28.9</c:v>
                </c:pt>
                <c:pt idx="8" formatCode="General">
                  <c:v>32.9</c:v>
                </c:pt>
                <c:pt idx="9" formatCode="General">
                  <c:v>38.5</c:v>
                </c:pt>
                <c:pt idx="10" formatCode="General">
                  <c:v>41.8</c:v>
                </c:pt>
                <c:pt idx="11" formatCode="General">
                  <c:v>44.5</c:v>
                </c:pt>
                <c:pt idx="12" formatCode="General">
                  <c:v>46.3</c:v>
                </c:pt>
                <c:pt idx="13" formatCode="General">
                  <c:v>51.2</c:v>
                </c:pt>
                <c:pt idx="14" formatCode="General">
                  <c:v>54</c:v>
                </c:pt>
                <c:pt idx="15" formatCode="General">
                  <c:v>62.1</c:v>
                </c:pt>
                <c:pt idx="16" formatCode="General">
                  <c:v>65.599999999999994</c:v>
                </c:pt>
                <c:pt idx="17" formatCode="General">
                  <c:v>68.400000000000006</c:v>
                </c:pt>
                <c:pt idx="18" formatCode="General">
                  <c:v>70.099999999999994</c:v>
                </c:pt>
                <c:pt idx="19" formatCode="General">
                  <c:v>77.400000000000006</c:v>
                </c:pt>
                <c:pt idx="20" formatCode="General">
                  <c:v>79.099999999999994</c:v>
                </c:pt>
                <c:pt idx="21" formatCode="General">
                  <c:v>79.2</c:v>
                </c:pt>
                <c:pt idx="22" formatCode="General">
                  <c:v>76.5</c:v>
                </c:pt>
                <c:pt idx="23" formatCode="General">
                  <c:v>72.8</c:v>
                </c:pt>
                <c:pt idx="24" formatCode="General">
                  <c:v>69.2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9-48DA-B9E3-9B2B96352418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Biogás!$A$20:$A$44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Biogás!$D$20:$D$44</c:f>
              <c:numCache>
                <c:formatCode>General</c:formatCode>
                <c:ptCount val="25"/>
                <c:pt idx="0">
                  <c:v>6.3</c:v>
                </c:pt>
                <c:pt idx="1">
                  <c:v>20.9</c:v>
                </c:pt>
                <c:pt idx="2">
                  <c:v>25.8</c:v>
                </c:pt>
                <c:pt idx="3">
                  <c:v>30.2</c:v>
                </c:pt>
                <c:pt idx="4">
                  <c:v>33.200000000000003</c:v>
                </c:pt>
                <c:pt idx="5">
                  <c:v>46.5</c:v>
                </c:pt>
                <c:pt idx="6">
                  <c:v>54.7</c:v>
                </c:pt>
                <c:pt idx="7">
                  <c:v>58.2</c:v>
                </c:pt>
                <c:pt idx="8">
                  <c:v>62.1</c:v>
                </c:pt>
                <c:pt idx="9">
                  <c:v>68.3</c:v>
                </c:pt>
                <c:pt idx="10">
                  <c:v>70.2</c:v>
                </c:pt>
                <c:pt idx="11">
                  <c:v>76.599999999999994</c:v>
                </c:pt>
                <c:pt idx="12">
                  <c:v>75.599999999999994</c:v>
                </c:pt>
                <c:pt idx="13">
                  <c:v>78.2</c:v>
                </c:pt>
                <c:pt idx="14">
                  <c:v>78.099999999999994</c:v>
                </c:pt>
                <c:pt idx="15">
                  <c:v>77.400000000000006</c:v>
                </c:pt>
                <c:pt idx="16">
                  <c:v>75.7</c:v>
                </c:pt>
                <c:pt idx="17">
                  <c:v>74.400000000000006</c:v>
                </c:pt>
                <c:pt idx="18">
                  <c:v>70.5</c:v>
                </c:pt>
                <c:pt idx="19">
                  <c:v>70.099999999999994</c:v>
                </c:pt>
                <c:pt idx="20">
                  <c:v>69.099999999999994</c:v>
                </c:pt>
                <c:pt idx="21">
                  <c:v>65.7</c:v>
                </c:pt>
                <c:pt idx="22">
                  <c:v>63.6</c:v>
                </c:pt>
                <c:pt idx="23">
                  <c:v>62.4</c:v>
                </c:pt>
                <c:pt idx="24">
                  <c:v>61.7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89-48DA-B9E3-9B2B96352418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Biogás!$A$20:$A$44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Biogás!$E$20:$E$44</c:f>
              <c:numCache>
                <c:formatCode>General</c:formatCode>
                <c:ptCount val="25"/>
                <c:pt idx="0">
                  <c:v>1.4</c:v>
                </c:pt>
                <c:pt idx="1">
                  <c:v>1.9</c:v>
                </c:pt>
                <c:pt idx="2">
                  <c:v>2.1</c:v>
                </c:pt>
                <c:pt idx="3">
                  <c:v>4.0999999999999996</c:v>
                </c:pt>
                <c:pt idx="4">
                  <c:v>6.2</c:v>
                </c:pt>
                <c:pt idx="5">
                  <c:v>7.9</c:v>
                </c:pt>
                <c:pt idx="6">
                  <c:v>11.6</c:v>
                </c:pt>
                <c:pt idx="7">
                  <c:v>22.5</c:v>
                </c:pt>
                <c:pt idx="8">
                  <c:v>30.2</c:v>
                </c:pt>
                <c:pt idx="9">
                  <c:v>31.5</c:v>
                </c:pt>
                <c:pt idx="10">
                  <c:v>35.299999999999997</c:v>
                </c:pt>
                <c:pt idx="11">
                  <c:v>39.9</c:v>
                </c:pt>
                <c:pt idx="12">
                  <c:v>42.5</c:v>
                </c:pt>
                <c:pt idx="13">
                  <c:v>47.3</c:v>
                </c:pt>
                <c:pt idx="14">
                  <c:v>50.1</c:v>
                </c:pt>
                <c:pt idx="15">
                  <c:v>53.5</c:v>
                </c:pt>
                <c:pt idx="16">
                  <c:v>57.2</c:v>
                </c:pt>
                <c:pt idx="17">
                  <c:v>62.1</c:v>
                </c:pt>
                <c:pt idx="18">
                  <c:v>64.599999999999994</c:v>
                </c:pt>
                <c:pt idx="19">
                  <c:v>68.400000000000006</c:v>
                </c:pt>
                <c:pt idx="20">
                  <c:v>67.099999999999994</c:v>
                </c:pt>
                <c:pt idx="21">
                  <c:v>68.099999999999994</c:v>
                </c:pt>
                <c:pt idx="22">
                  <c:v>66.900000000000006</c:v>
                </c:pt>
                <c:pt idx="23">
                  <c:v>66.8</c:v>
                </c:pt>
                <c:pt idx="24">
                  <c:v>66.2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689-48DA-B9E3-9B2B96352418}"/>
            </c:ext>
          </c:extLst>
        </c:ser>
        <c:ser>
          <c:idx val="4"/>
          <c:order val="4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Biogás!$A$20:$A$44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Biogás!$F$20:$F$44</c:f>
              <c:numCache>
                <c:formatCode>General</c:formatCode>
                <c:ptCount val="25"/>
                <c:pt idx="0">
                  <c:v>3.6</c:v>
                </c:pt>
                <c:pt idx="1">
                  <c:v>6</c:v>
                </c:pt>
                <c:pt idx="2">
                  <c:v>9.6</c:v>
                </c:pt>
                <c:pt idx="3">
                  <c:v>9.6</c:v>
                </c:pt>
                <c:pt idx="4">
                  <c:v>13.5</c:v>
                </c:pt>
                <c:pt idx="5">
                  <c:v>26.4</c:v>
                </c:pt>
                <c:pt idx="6">
                  <c:v>28.3</c:v>
                </c:pt>
                <c:pt idx="7">
                  <c:v>30.1</c:v>
                </c:pt>
                <c:pt idx="8">
                  <c:v>33.4</c:v>
                </c:pt>
                <c:pt idx="9">
                  <c:v>36.9</c:v>
                </c:pt>
                <c:pt idx="10">
                  <c:v>36.9</c:v>
                </c:pt>
                <c:pt idx="11">
                  <c:v>37.6</c:v>
                </c:pt>
                <c:pt idx="12">
                  <c:v>38.6</c:v>
                </c:pt>
                <c:pt idx="13">
                  <c:v>38.6</c:v>
                </c:pt>
                <c:pt idx="14">
                  <c:v>43</c:v>
                </c:pt>
                <c:pt idx="15">
                  <c:v>45</c:v>
                </c:pt>
                <c:pt idx="16">
                  <c:v>47.1</c:v>
                </c:pt>
                <c:pt idx="17">
                  <c:v>47.1</c:v>
                </c:pt>
                <c:pt idx="18">
                  <c:v>48.5</c:v>
                </c:pt>
                <c:pt idx="19">
                  <c:v>51.8</c:v>
                </c:pt>
                <c:pt idx="20">
                  <c:v>55</c:v>
                </c:pt>
                <c:pt idx="21">
                  <c:v>59</c:v>
                </c:pt>
                <c:pt idx="22">
                  <c:v>61</c:v>
                </c:pt>
                <c:pt idx="23">
                  <c:v>60</c:v>
                </c:pt>
                <c:pt idx="24">
                  <c:v>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689-48DA-B9E3-9B2B96352418}"/>
            </c:ext>
          </c:extLst>
        </c:ser>
        <c:ser>
          <c:idx val="5"/>
          <c:order val="5"/>
          <c:tx>
            <c:v>Co-digestión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Biogás!$A$20:$A$44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Biogás!$G$20:$G$44</c:f>
              <c:numCache>
                <c:formatCode>General</c:formatCode>
                <c:ptCount val="25"/>
                <c:pt idx="0">
                  <c:v>7.4</c:v>
                </c:pt>
                <c:pt idx="1">
                  <c:v>10.9</c:v>
                </c:pt>
                <c:pt idx="2">
                  <c:v>26.5</c:v>
                </c:pt>
                <c:pt idx="3">
                  <c:v>32.4</c:v>
                </c:pt>
                <c:pt idx="4">
                  <c:v>42.5</c:v>
                </c:pt>
                <c:pt idx="5">
                  <c:v>55.2</c:v>
                </c:pt>
                <c:pt idx="6">
                  <c:v>62.2</c:v>
                </c:pt>
                <c:pt idx="7">
                  <c:v>61.9</c:v>
                </c:pt>
                <c:pt idx="8">
                  <c:v>62.3</c:v>
                </c:pt>
                <c:pt idx="9">
                  <c:v>62.8</c:v>
                </c:pt>
                <c:pt idx="10">
                  <c:v>63.1</c:v>
                </c:pt>
                <c:pt idx="11">
                  <c:v>61.2</c:v>
                </c:pt>
                <c:pt idx="12">
                  <c:v>62.4</c:v>
                </c:pt>
                <c:pt idx="13">
                  <c:v>64.599999999999994</c:v>
                </c:pt>
                <c:pt idx="14">
                  <c:v>63.5</c:v>
                </c:pt>
                <c:pt idx="15">
                  <c:v>62.5</c:v>
                </c:pt>
                <c:pt idx="16">
                  <c:v>59.2</c:v>
                </c:pt>
                <c:pt idx="17">
                  <c:v>58.5</c:v>
                </c:pt>
                <c:pt idx="18">
                  <c:v>54.2</c:v>
                </c:pt>
                <c:pt idx="19">
                  <c:v>52.1</c:v>
                </c:pt>
                <c:pt idx="20">
                  <c:v>53.2</c:v>
                </c:pt>
                <c:pt idx="21">
                  <c:v>54.9</c:v>
                </c:pt>
                <c:pt idx="22">
                  <c:v>42.5</c:v>
                </c:pt>
                <c:pt idx="23">
                  <c:v>49.2</c:v>
                </c:pt>
                <c:pt idx="24">
                  <c:v>36.5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689-48DA-B9E3-9B2B96352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405648"/>
        <c:axId val="-2135276016"/>
      </c:scatterChart>
      <c:valAx>
        <c:axId val="211740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276016"/>
        <c:crosses val="autoZero"/>
        <c:crossBetween val="midCat"/>
      </c:valAx>
      <c:valAx>
        <c:axId val="-213527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Calidad de metano del digestor sin serpentín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7405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Biogás!$L$20:$L$44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Biogás!$M$20:$M$39</c:f>
              <c:numCache>
                <c:formatCode>General</c:formatCode>
                <c:ptCount val="20"/>
                <c:pt idx="0">
                  <c:v>0.3</c:v>
                </c:pt>
                <c:pt idx="1">
                  <c:v>0.9</c:v>
                </c:pt>
                <c:pt idx="2">
                  <c:v>1.3</c:v>
                </c:pt>
                <c:pt idx="3">
                  <c:v>2.5</c:v>
                </c:pt>
                <c:pt idx="4">
                  <c:v>4.7</c:v>
                </c:pt>
                <c:pt idx="5">
                  <c:v>6.8</c:v>
                </c:pt>
                <c:pt idx="6">
                  <c:v>8.1</c:v>
                </c:pt>
                <c:pt idx="7">
                  <c:v>9.9</c:v>
                </c:pt>
                <c:pt idx="8">
                  <c:v>11.4</c:v>
                </c:pt>
                <c:pt idx="9">
                  <c:v>12.3</c:v>
                </c:pt>
                <c:pt idx="10">
                  <c:v>13.9</c:v>
                </c:pt>
                <c:pt idx="11">
                  <c:v>15.1</c:v>
                </c:pt>
                <c:pt idx="12">
                  <c:v>17.899999999999999</c:v>
                </c:pt>
                <c:pt idx="13">
                  <c:v>19.399999999999999</c:v>
                </c:pt>
                <c:pt idx="14" formatCode="0.0">
                  <c:v>21</c:v>
                </c:pt>
                <c:pt idx="15">
                  <c:v>21.9</c:v>
                </c:pt>
                <c:pt idx="16">
                  <c:v>22.5</c:v>
                </c:pt>
                <c:pt idx="17">
                  <c:v>24.7</c:v>
                </c:pt>
                <c:pt idx="18" formatCode="0.0">
                  <c:v>25</c:v>
                </c:pt>
                <c:pt idx="19" formatCode="0.0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4F-412B-A630-BAE0E99C57B9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Biogás!$L$20:$L$44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Biogás!$N$20:$N$44</c:f>
              <c:numCache>
                <c:formatCode>General</c:formatCode>
                <c:ptCount val="25"/>
                <c:pt idx="0">
                  <c:v>1.8</c:v>
                </c:pt>
                <c:pt idx="1">
                  <c:v>2.2000000000000002</c:v>
                </c:pt>
                <c:pt idx="2">
                  <c:v>3.4</c:v>
                </c:pt>
                <c:pt idx="3">
                  <c:v>5.9</c:v>
                </c:pt>
                <c:pt idx="4">
                  <c:v>6.2</c:v>
                </c:pt>
                <c:pt idx="5">
                  <c:v>6.8</c:v>
                </c:pt>
                <c:pt idx="6">
                  <c:v>9.5</c:v>
                </c:pt>
                <c:pt idx="7">
                  <c:v>13.5</c:v>
                </c:pt>
                <c:pt idx="8">
                  <c:v>13.9</c:v>
                </c:pt>
                <c:pt idx="9">
                  <c:v>12.3</c:v>
                </c:pt>
                <c:pt idx="10">
                  <c:v>15.4</c:v>
                </c:pt>
                <c:pt idx="11">
                  <c:v>17.899999999999999</c:v>
                </c:pt>
                <c:pt idx="12">
                  <c:v>19.2</c:v>
                </c:pt>
                <c:pt idx="13">
                  <c:v>21.6</c:v>
                </c:pt>
                <c:pt idx="14" formatCode="0.0">
                  <c:v>31.2</c:v>
                </c:pt>
                <c:pt idx="15">
                  <c:v>42.7</c:v>
                </c:pt>
                <c:pt idx="16">
                  <c:v>54.1</c:v>
                </c:pt>
                <c:pt idx="17">
                  <c:v>59.4</c:v>
                </c:pt>
                <c:pt idx="18">
                  <c:v>60.1</c:v>
                </c:pt>
                <c:pt idx="19" formatCode="0.0">
                  <c:v>60.3</c:v>
                </c:pt>
                <c:pt idx="20">
                  <c:v>64.099999999999994</c:v>
                </c:pt>
                <c:pt idx="21">
                  <c:v>68.400000000000006</c:v>
                </c:pt>
                <c:pt idx="22">
                  <c:v>76.2</c:v>
                </c:pt>
                <c:pt idx="23">
                  <c:v>71.099999999999994</c:v>
                </c:pt>
                <c:pt idx="24">
                  <c:v>68.400000000000006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4F-412B-A630-BAE0E99C57B9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Biogás!$L$20:$L$44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Biogás!$O$20:$O$44</c:f>
              <c:numCache>
                <c:formatCode>General</c:formatCode>
                <c:ptCount val="25"/>
                <c:pt idx="0">
                  <c:v>2.4</c:v>
                </c:pt>
                <c:pt idx="1">
                  <c:v>21.2</c:v>
                </c:pt>
                <c:pt idx="2">
                  <c:v>27.3</c:v>
                </c:pt>
                <c:pt idx="3">
                  <c:v>31.4</c:v>
                </c:pt>
                <c:pt idx="4">
                  <c:v>37.9</c:v>
                </c:pt>
                <c:pt idx="5">
                  <c:v>42.3</c:v>
                </c:pt>
                <c:pt idx="6">
                  <c:v>48.9</c:v>
                </c:pt>
                <c:pt idx="7">
                  <c:v>53.2</c:v>
                </c:pt>
                <c:pt idx="8">
                  <c:v>57.3</c:v>
                </c:pt>
                <c:pt idx="9">
                  <c:v>62.6</c:v>
                </c:pt>
                <c:pt idx="10">
                  <c:v>64.599999999999994</c:v>
                </c:pt>
                <c:pt idx="11">
                  <c:v>68.900000000000006</c:v>
                </c:pt>
                <c:pt idx="12">
                  <c:v>70.099999999999994</c:v>
                </c:pt>
                <c:pt idx="13">
                  <c:v>72.400000000000006</c:v>
                </c:pt>
                <c:pt idx="14">
                  <c:v>71.599999999999994</c:v>
                </c:pt>
                <c:pt idx="15">
                  <c:v>75.599999999999994</c:v>
                </c:pt>
                <c:pt idx="16">
                  <c:v>76.7</c:v>
                </c:pt>
                <c:pt idx="17">
                  <c:v>75.3</c:v>
                </c:pt>
                <c:pt idx="18">
                  <c:v>73.5</c:v>
                </c:pt>
                <c:pt idx="19">
                  <c:v>76.599999999999994</c:v>
                </c:pt>
                <c:pt idx="20">
                  <c:v>75.400000000000006</c:v>
                </c:pt>
                <c:pt idx="21">
                  <c:v>74.599999999999994</c:v>
                </c:pt>
                <c:pt idx="22">
                  <c:v>70.099999999999994</c:v>
                </c:pt>
                <c:pt idx="23">
                  <c:v>68.099999999999994</c:v>
                </c:pt>
                <c:pt idx="24">
                  <c:v>67.599999999999994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4F-412B-A630-BAE0E99C57B9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Biogás!$L$20:$L$44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Biogás!$P$20:$P$44</c:f>
              <c:numCache>
                <c:formatCode>General</c:formatCode>
                <c:ptCount val="25"/>
                <c:pt idx="0">
                  <c:v>1.2</c:v>
                </c:pt>
                <c:pt idx="1">
                  <c:v>1.7</c:v>
                </c:pt>
                <c:pt idx="2">
                  <c:v>2.7</c:v>
                </c:pt>
                <c:pt idx="3">
                  <c:v>5.9</c:v>
                </c:pt>
                <c:pt idx="4">
                  <c:v>8.4</c:v>
                </c:pt>
                <c:pt idx="5">
                  <c:v>10.9</c:v>
                </c:pt>
                <c:pt idx="6">
                  <c:v>25.1</c:v>
                </c:pt>
                <c:pt idx="7">
                  <c:v>30.7</c:v>
                </c:pt>
                <c:pt idx="8">
                  <c:v>40.4</c:v>
                </c:pt>
                <c:pt idx="9">
                  <c:v>43.5</c:v>
                </c:pt>
                <c:pt idx="10">
                  <c:v>46.4</c:v>
                </c:pt>
                <c:pt idx="11">
                  <c:v>47</c:v>
                </c:pt>
                <c:pt idx="12">
                  <c:v>52.5</c:v>
                </c:pt>
                <c:pt idx="13">
                  <c:v>54.9</c:v>
                </c:pt>
                <c:pt idx="14">
                  <c:v>56.5</c:v>
                </c:pt>
                <c:pt idx="15">
                  <c:v>58.4</c:v>
                </c:pt>
                <c:pt idx="16">
                  <c:v>60.9</c:v>
                </c:pt>
                <c:pt idx="17">
                  <c:v>68.2</c:v>
                </c:pt>
                <c:pt idx="18">
                  <c:v>70.3</c:v>
                </c:pt>
                <c:pt idx="19">
                  <c:v>69.099999999999994</c:v>
                </c:pt>
                <c:pt idx="20">
                  <c:v>69.3</c:v>
                </c:pt>
                <c:pt idx="21">
                  <c:v>68.8</c:v>
                </c:pt>
                <c:pt idx="22">
                  <c:v>67.900000000000006</c:v>
                </c:pt>
                <c:pt idx="23">
                  <c:v>67.400000000000006</c:v>
                </c:pt>
                <c:pt idx="24">
                  <c:v>68.5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4F-412B-A630-BAE0E99C57B9}"/>
            </c:ext>
          </c:extLst>
        </c:ser>
        <c:ser>
          <c:idx val="4"/>
          <c:order val="4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Biogás!$L$20:$L$44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Biogás!$Q$20:$Q$44</c:f>
              <c:numCache>
                <c:formatCode>General</c:formatCode>
                <c:ptCount val="25"/>
                <c:pt idx="0">
                  <c:v>9.1</c:v>
                </c:pt>
                <c:pt idx="1">
                  <c:v>16.399999999999999</c:v>
                </c:pt>
                <c:pt idx="2">
                  <c:v>24.5</c:v>
                </c:pt>
                <c:pt idx="3">
                  <c:v>34.5</c:v>
                </c:pt>
                <c:pt idx="4">
                  <c:v>43.6</c:v>
                </c:pt>
                <c:pt idx="5">
                  <c:v>49.1</c:v>
                </c:pt>
                <c:pt idx="6">
                  <c:v>54</c:v>
                </c:pt>
                <c:pt idx="7">
                  <c:v>57.6</c:v>
                </c:pt>
                <c:pt idx="8">
                  <c:v>62.3</c:v>
                </c:pt>
                <c:pt idx="9">
                  <c:v>63.1</c:v>
                </c:pt>
                <c:pt idx="10">
                  <c:v>63.1</c:v>
                </c:pt>
                <c:pt idx="11">
                  <c:v>67.5</c:v>
                </c:pt>
                <c:pt idx="12">
                  <c:v>67.8</c:v>
                </c:pt>
                <c:pt idx="13">
                  <c:v>67.3</c:v>
                </c:pt>
                <c:pt idx="14">
                  <c:v>67.099999999999994</c:v>
                </c:pt>
                <c:pt idx="15">
                  <c:v>67.7</c:v>
                </c:pt>
                <c:pt idx="16">
                  <c:v>68.099999999999994</c:v>
                </c:pt>
                <c:pt idx="17">
                  <c:v>68.099999999999994</c:v>
                </c:pt>
                <c:pt idx="18">
                  <c:v>67.8</c:v>
                </c:pt>
                <c:pt idx="19">
                  <c:v>67.3</c:v>
                </c:pt>
                <c:pt idx="20">
                  <c:v>67.099999999999994</c:v>
                </c:pt>
                <c:pt idx="21">
                  <c:v>66.8</c:v>
                </c:pt>
                <c:pt idx="22">
                  <c:v>66.900000000000006</c:v>
                </c:pt>
                <c:pt idx="23">
                  <c:v>66.400000000000006</c:v>
                </c:pt>
                <c:pt idx="24">
                  <c:v>65.400000000000006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4F-412B-A630-BAE0E99C57B9}"/>
            </c:ext>
          </c:extLst>
        </c:ser>
        <c:ser>
          <c:idx val="5"/>
          <c:order val="5"/>
          <c:tx>
            <c:v>Co-digestión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Biogás!$L$20:$L$44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Biogás!$R$20:$R$44</c:f>
              <c:numCache>
                <c:formatCode>General</c:formatCode>
                <c:ptCount val="25"/>
                <c:pt idx="0">
                  <c:v>11.1</c:v>
                </c:pt>
                <c:pt idx="1">
                  <c:v>13.5</c:v>
                </c:pt>
                <c:pt idx="2">
                  <c:v>22.5</c:v>
                </c:pt>
                <c:pt idx="3">
                  <c:v>32.5</c:v>
                </c:pt>
                <c:pt idx="4">
                  <c:v>35.700000000000003</c:v>
                </c:pt>
                <c:pt idx="5">
                  <c:v>45.9</c:v>
                </c:pt>
                <c:pt idx="6">
                  <c:v>57.3</c:v>
                </c:pt>
                <c:pt idx="7">
                  <c:v>61.1</c:v>
                </c:pt>
                <c:pt idx="8">
                  <c:v>61.9</c:v>
                </c:pt>
                <c:pt idx="9">
                  <c:v>62.5</c:v>
                </c:pt>
                <c:pt idx="10">
                  <c:v>62.9</c:v>
                </c:pt>
                <c:pt idx="11">
                  <c:v>63.2</c:v>
                </c:pt>
                <c:pt idx="12">
                  <c:v>63.9</c:v>
                </c:pt>
                <c:pt idx="13">
                  <c:v>64.5</c:v>
                </c:pt>
                <c:pt idx="14">
                  <c:v>65.7</c:v>
                </c:pt>
                <c:pt idx="15">
                  <c:v>66.900000000000006</c:v>
                </c:pt>
                <c:pt idx="16">
                  <c:v>67.099999999999994</c:v>
                </c:pt>
                <c:pt idx="17">
                  <c:v>68.3</c:v>
                </c:pt>
                <c:pt idx="18">
                  <c:v>66.3</c:v>
                </c:pt>
                <c:pt idx="19">
                  <c:v>65.2</c:v>
                </c:pt>
                <c:pt idx="20">
                  <c:v>66.099999999999994</c:v>
                </c:pt>
                <c:pt idx="21">
                  <c:v>63.3</c:v>
                </c:pt>
                <c:pt idx="22">
                  <c:v>62.5</c:v>
                </c:pt>
                <c:pt idx="23">
                  <c:v>61.4</c:v>
                </c:pt>
                <c:pt idx="24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4F-412B-A630-BAE0E99C5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005872"/>
        <c:axId val="2124011520"/>
      </c:scatterChart>
      <c:valAx>
        <c:axId val="212400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4011520"/>
        <c:crosses val="autoZero"/>
        <c:crossBetween val="midCat"/>
      </c:valAx>
      <c:valAx>
        <c:axId val="212401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Calidad de metano del digestor</a:t>
                </a:r>
                <a:r>
                  <a:rPr lang="es-ES_tradnl" baseline="0"/>
                  <a:t> con serpentín</a:t>
                </a:r>
                <a:r>
                  <a:rPr lang="es-ES_tradnl"/>
                  <a:t>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400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Corrida 3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Biogás!$N$51:$N$75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Biogás!$T$51:$T$75</c:f>
              <c:numCache>
                <c:formatCode>General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93</c:v>
                </c:pt>
                <c:pt idx="3">
                  <c:v>93</c:v>
                </c:pt>
                <c:pt idx="4">
                  <c:v>95</c:v>
                </c:pt>
                <c:pt idx="5">
                  <c:v>95</c:v>
                </c:pt>
                <c:pt idx="6">
                  <c:v>100</c:v>
                </c:pt>
                <c:pt idx="7">
                  <c:v>100</c:v>
                </c:pt>
                <c:pt idx="8">
                  <c:v>111</c:v>
                </c:pt>
                <c:pt idx="9">
                  <c:v>121</c:v>
                </c:pt>
                <c:pt idx="10">
                  <c:v>141</c:v>
                </c:pt>
                <c:pt idx="11">
                  <c:v>181</c:v>
                </c:pt>
                <c:pt idx="12">
                  <c:v>198</c:v>
                </c:pt>
                <c:pt idx="13">
                  <c:v>198</c:v>
                </c:pt>
                <c:pt idx="14">
                  <c:v>226</c:v>
                </c:pt>
                <c:pt idx="15">
                  <c:v>250</c:v>
                </c:pt>
                <c:pt idx="16">
                  <c:v>306</c:v>
                </c:pt>
                <c:pt idx="17">
                  <c:v>306</c:v>
                </c:pt>
                <c:pt idx="18">
                  <c:v>343</c:v>
                </c:pt>
                <c:pt idx="19">
                  <c:v>343</c:v>
                </c:pt>
                <c:pt idx="20">
                  <c:v>421</c:v>
                </c:pt>
                <c:pt idx="21">
                  <c:v>471</c:v>
                </c:pt>
                <c:pt idx="22">
                  <c:v>501</c:v>
                </c:pt>
                <c:pt idx="23">
                  <c:v>516</c:v>
                </c:pt>
                <c:pt idx="24">
                  <c:v>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AB-4E25-ADD6-1CE3AA63AC4D}"/>
            </c:ext>
          </c:extLst>
        </c:ser>
        <c:ser>
          <c:idx val="1"/>
          <c:order val="1"/>
          <c:tx>
            <c:v>Corrida 4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Biogás!$N$51:$N$75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Biogás!$S$51:$S$75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40</c:v>
                </c:pt>
                <c:pt idx="4">
                  <c:v>70</c:v>
                </c:pt>
                <c:pt idx="5">
                  <c:v>105</c:v>
                </c:pt>
                <c:pt idx="6">
                  <c:v>117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265</c:v>
                </c:pt>
                <c:pt idx="17">
                  <c:v>279</c:v>
                </c:pt>
                <c:pt idx="18">
                  <c:v>292</c:v>
                </c:pt>
                <c:pt idx="19">
                  <c:v>305</c:v>
                </c:pt>
                <c:pt idx="20">
                  <c:v>315</c:v>
                </c:pt>
                <c:pt idx="21">
                  <c:v>325</c:v>
                </c:pt>
                <c:pt idx="22">
                  <c:v>330</c:v>
                </c:pt>
                <c:pt idx="23">
                  <c:v>335</c:v>
                </c:pt>
                <c:pt idx="24">
                  <c:v>340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AB-4E25-ADD6-1CE3AA63AC4D}"/>
            </c:ext>
          </c:extLst>
        </c:ser>
        <c:ser>
          <c:idx val="2"/>
          <c:order val="2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Biogás!$N$51:$N$75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Biogás!$W$51:$W$75</c:f>
              <c:numCache>
                <c:formatCode>General</c:formatCode>
                <c:ptCount val="25"/>
                <c:pt idx="0">
                  <c:v>0</c:v>
                </c:pt>
                <c:pt idx="1">
                  <c:v>28</c:v>
                </c:pt>
                <c:pt idx="2">
                  <c:v>38</c:v>
                </c:pt>
                <c:pt idx="3">
                  <c:v>80</c:v>
                </c:pt>
                <c:pt idx="4">
                  <c:v>97</c:v>
                </c:pt>
                <c:pt idx="5">
                  <c:v>136</c:v>
                </c:pt>
                <c:pt idx="6">
                  <c:v>169</c:v>
                </c:pt>
                <c:pt idx="7">
                  <c:v>172</c:v>
                </c:pt>
                <c:pt idx="8">
                  <c:v>188</c:v>
                </c:pt>
                <c:pt idx="9">
                  <c:v>203</c:v>
                </c:pt>
                <c:pt idx="10">
                  <c:v>207</c:v>
                </c:pt>
                <c:pt idx="11">
                  <c:v>236</c:v>
                </c:pt>
                <c:pt idx="12">
                  <c:v>255</c:v>
                </c:pt>
                <c:pt idx="13">
                  <c:v>272</c:v>
                </c:pt>
                <c:pt idx="14">
                  <c:v>288</c:v>
                </c:pt>
                <c:pt idx="15">
                  <c:v>301</c:v>
                </c:pt>
                <c:pt idx="16">
                  <c:v>319</c:v>
                </c:pt>
                <c:pt idx="17">
                  <c:v>331</c:v>
                </c:pt>
                <c:pt idx="18">
                  <c:v>362</c:v>
                </c:pt>
                <c:pt idx="19">
                  <c:v>378</c:v>
                </c:pt>
                <c:pt idx="20">
                  <c:v>393</c:v>
                </c:pt>
                <c:pt idx="21">
                  <c:v>403</c:v>
                </c:pt>
                <c:pt idx="22">
                  <c:v>419</c:v>
                </c:pt>
                <c:pt idx="23">
                  <c:v>429</c:v>
                </c:pt>
                <c:pt idx="24">
                  <c:v>438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BAB-4E25-ADD6-1CE3AA63AC4D}"/>
            </c:ext>
          </c:extLst>
        </c:ser>
        <c:ser>
          <c:idx val="3"/>
          <c:order val="3"/>
          <c:tx>
            <c:v>Co-digestión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Biogás!$N$51:$N$75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Biogás!$AE$52:$AE$76</c:f>
              <c:numCache>
                <c:formatCode>General</c:formatCode>
                <c:ptCount val="25"/>
                <c:pt idx="0">
                  <c:v>0</c:v>
                </c:pt>
                <c:pt idx="1">
                  <c:v>23</c:v>
                </c:pt>
                <c:pt idx="2">
                  <c:v>67</c:v>
                </c:pt>
                <c:pt idx="3">
                  <c:v>89</c:v>
                </c:pt>
                <c:pt idx="4">
                  <c:v>117</c:v>
                </c:pt>
                <c:pt idx="5">
                  <c:v>145</c:v>
                </c:pt>
                <c:pt idx="6">
                  <c:v>201</c:v>
                </c:pt>
                <c:pt idx="7">
                  <c:v>230</c:v>
                </c:pt>
                <c:pt idx="8">
                  <c:v>245</c:v>
                </c:pt>
                <c:pt idx="9">
                  <c:v>291</c:v>
                </c:pt>
                <c:pt idx="10">
                  <c:v>317</c:v>
                </c:pt>
                <c:pt idx="11">
                  <c:v>337</c:v>
                </c:pt>
                <c:pt idx="12">
                  <c:v>360</c:v>
                </c:pt>
                <c:pt idx="13">
                  <c:v>377</c:v>
                </c:pt>
                <c:pt idx="14">
                  <c:v>387</c:v>
                </c:pt>
                <c:pt idx="15">
                  <c:v>400</c:v>
                </c:pt>
                <c:pt idx="16">
                  <c:v>417</c:v>
                </c:pt>
                <c:pt idx="17">
                  <c:v>428</c:v>
                </c:pt>
                <c:pt idx="18">
                  <c:v>443</c:v>
                </c:pt>
                <c:pt idx="19">
                  <c:v>458</c:v>
                </c:pt>
                <c:pt idx="20">
                  <c:v>470</c:v>
                </c:pt>
                <c:pt idx="21">
                  <c:v>481</c:v>
                </c:pt>
                <c:pt idx="22">
                  <c:v>500</c:v>
                </c:pt>
                <c:pt idx="23">
                  <c:v>526</c:v>
                </c:pt>
                <c:pt idx="24">
                  <c:v>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BAB-4E25-ADD6-1CE3AA63A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044192"/>
        <c:axId val="-2134558000"/>
      </c:scatterChart>
      <c:valAx>
        <c:axId val="-2138044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</a:t>
                </a:r>
                <a:r>
                  <a:rPr lang="es-ES_tradnl" baseline="0"/>
                  <a:t> transcurrido (Días)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558000"/>
        <c:crosses val="autoZero"/>
        <c:crossBetween val="midCat"/>
      </c:valAx>
      <c:valAx>
        <c:axId val="-213455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Volumen de biogás del digestor con serpentín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8044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Biogás!$C$51:$C$75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Biogás!$H$51:$H$75</c:f>
              <c:numCache>
                <c:formatCode>General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16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A3-49A0-9D9F-640BA367A15A}"/>
            </c:ext>
          </c:extLst>
        </c:ser>
        <c:ser>
          <c:idx val="1"/>
          <c:order val="1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Biogás!$C$51:$C$75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Biogás!$I$51:$I$75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71</c:v>
                </c:pt>
                <c:pt idx="16">
                  <c:v>72</c:v>
                </c:pt>
                <c:pt idx="17">
                  <c:v>72</c:v>
                </c:pt>
                <c:pt idx="18">
                  <c:v>72</c:v>
                </c:pt>
                <c:pt idx="19">
                  <c:v>72</c:v>
                </c:pt>
                <c:pt idx="20">
                  <c:v>72</c:v>
                </c:pt>
                <c:pt idx="21">
                  <c:v>72</c:v>
                </c:pt>
                <c:pt idx="22">
                  <c:v>72</c:v>
                </c:pt>
                <c:pt idx="23">
                  <c:v>72</c:v>
                </c:pt>
                <c:pt idx="24">
                  <c:v>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A3-49A0-9D9F-640BA367A15A}"/>
            </c:ext>
          </c:extLst>
        </c:ser>
        <c:ser>
          <c:idx val="2"/>
          <c:order val="2"/>
          <c:tx>
            <c:v>Co-digestión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Biogás!$C$51:$C$75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Biogás!$F$79:$F$103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10</c:v>
                </c:pt>
                <c:pt idx="7">
                  <c:v>19</c:v>
                </c:pt>
                <c:pt idx="8">
                  <c:v>28</c:v>
                </c:pt>
                <c:pt idx="9">
                  <c:v>32</c:v>
                </c:pt>
                <c:pt idx="10">
                  <c:v>51</c:v>
                </c:pt>
                <c:pt idx="11">
                  <c:v>57</c:v>
                </c:pt>
                <c:pt idx="12">
                  <c:v>64</c:v>
                </c:pt>
                <c:pt idx="13">
                  <c:v>77</c:v>
                </c:pt>
                <c:pt idx="14">
                  <c:v>87</c:v>
                </c:pt>
                <c:pt idx="15">
                  <c:v>97</c:v>
                </c:pt>
                <c:pt idx="16">
                  <c:v>107</c:v>
                </c:pt>
                <c:pt idx="17">
                  <c:v>115</c:v>
                </c:pt>
                <c:pt idx="18">
                  <c:v>124</c:v>
                </c:pt>
                <c:pt idx="19">
                  <c:v>139</c:v>
                </c:pt>
                <c:pt idx="20">
                  <c:v>145</c:v>
                </c:pt>
                <c:pt idx="21">
                  <c:v>153</c:v>
                </c:pt>
                <c:pt idx="22">
                  <c:v>154</c:v>
                </c:pt>
                <c:pt idx="23">
                  <c:v>161</c:v>
                </c:pt>
                <c:pt idx="24">
                  <c:v>171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A3-49A0-9D9F-640BA367A15A}"/>
            </c:ext>
          </c:extLst>
        </c:ser>
        <c:ser>
          <c:idx val="3"/>
          <c:order val="3"/>
          <c:tx>
            <c:v>Co-digestión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Biogás!$N$51:$N$75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Biogás!$AB$52:$AB$76</c:f>
              <c:numCache>
                <c:formatCode>General</c:formatCode>
                <c:ptCount val="25"/>
                <c:pt idx="0">
                  <c:v>0</c:v>
                </c:pt>
                <c:pt idx="1">
                  <c:v>25</c:v>
                </c:pt>
                <c:pt idx="2">
                  <c:v>33</c:v>
                </c:pt>
                <c:pt idx="3">
                  <c:v>51</c:v>
                </c:pt>
                <c:pt idx="4">
                  <c:v>54</c:v>
                </c:pt>
                <c:pt idx="5">
                  <c:v>64</c:v>
                </c:pt>
                <c:pt idx="6">
                  <c:v>66</c:v>
                </c:pt>
                <c:pt idx="7">
                  <c:v>71</c:v>
                </c:pt>
                <c:pt idx="8">
                  <c:v>76</c:v>
                </c:pt>
                <c:pt idx="9">
                  <c:v>81</c:v>
                </c:pt>
                <c:pt idx="10">
                  <c:v>86</c:v>
                </c:pt>
                <c:pt idx="11">
                  <c:v>91</c:v>
                </c:pt>
                <c:pt idx="12">
                  <c:v>96</c:v>
                </c:pt>
                <c:pt idx="13">
                  <c:v>103</c:v>
                </c:pt>
                <c:pt idx="14">
                  <c:v>117</c:v>
                </c:pt>
                <c:pt idx="15">
                  <c:v>120</c:v>
                </c:pt>
                <c:pt idx="16">
                  <c:v>121</c:v>
                </c:pt>
                <c:pt idx="17">
                  <c:v>131</c:v>
                </c:pt>
                <c:pt idx="18">
                  <c:v>132</c:v>
                </c:pt>
                <c:pt idx="19">
                  <c:v>134</c:v>
                </c:pt>
                <c:pt idx="20">
                  <c:v>142</c:v>
                </c:pt>
                <c:pt idx="21">
                  <c:v>144</c:v>
                </c:pt>
                <c:pt idx="22">
                  <c:v>156</c:v>
                </c:pt>
                <c:pt idx="23">
                  <c:v>166</c:v>
                </c:pt>
                <c:pt idx="24">
                  <c:v>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A3-49A0-9D9F-640BA367A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502608"/>
        <c:axId val="-2134496832"/>
      </c:scatterChart>
      <c:valAx>
        <c:axId val="-213450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496832"/>
        <c:crosses val="autoZero"/>
        <c:crossBetween val="midCat"/>
      </c:valAx>
      <c:valAx>
        <c:axId val="-21344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Volumen</a:t>
                </a:r>
                <a:r>
                  <a:rPr lang="es-ES_tradnl" baseline="0"/>
                  <a:t> de biogás del digestor sin serpentín (L)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502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16875659227594E-2"/>
          <c:y val="6.1989110792300399E-2"/>
          <c:w val="0.90127321146177941"/>
          <c:h val="0.83135913528701677"/>
        </c:manualLayout>
      </c:layout>
      <c:scatterChart>
        <c:scatterStyle val="smoothMarker"/>
        <c:varyColors val="0"/>
        <c:ser>
          <c:idx val="0"/>
          <c:order val="0"/>
          <c:tx>
            <c:v>Digestor sin calentador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Biogás!$J$20:$J$44</c:f>
                <c:numCache>
                  <c:formatCode>General</c:formatCode>
                  <c:ptCount val="25"/>
                  <c:pt idx="0">
                    <c:v>6.2359174679165417</c:v>
                  </c:pt>
                  <c:pt idx="1">
                    <c:v>9.4625577937468872</c:v>
                  </c:pt>
                  <c:pt idx="2">
                    <c:v>10.862588703128424</c:v>
                  </c:pt>
                  <c:pt idx="3">
                    <c:v>11.775398082442903</c:v>
                  </c:pt>
                  <c:pt idx="4">
                    <c:v>12.708658465786238</c:v>
                  </c:pt>
                  <c:pt idx="5">
                    <c:v>17.341544529443343</c:v>
                  </c:pt>
                  <c:pt idx="6">
                    <c:v>18.920976014289892</c:v>
                  </c:pt>
                  <c:pt idx="7">
                    <c:v>15.916553228217055</c:v>
                  </c:pt>
                  <c:pt idx="8">
                    <c:v>14.579066042331631</c:v>
                  </c:pt>
                  <c:pt idx="9">
                    <c:v>16.026124505527427</c:v>
                  </c:pt>
                  <c:pt idx="10">
                    <c:v>15.342967987539668</c:v>
                  </c:pt>
                  <c:pt idx="11">
                    <c:v>16.345106301275631</c:v>
                  </c:pt>
                  <c:pt idx="12">
                    <c:v>14.886795043482891</c:v>
                  </c:pt>
                  <c:pt idx="13">
                    <c:v>13.740542201820078</c:v>
                  </c:pt>
                  <c:pt idx="14">
                    <c:v>12.385744493839134</c:v>
                  </c:pt>
                  <c:pt idx="15">
                    <c:v>9.9469844676665602</c:v>
                  </c:pt>
                  <c:pt idx="16">
                    <c:v>7.7822447489997453</c:v>
                  </c:pt>
                  <c:pt idx="17">
                    <c:v>5.7017541160593748</c:v>
                  </c:pt>
                  <c:pt idx="18">
                    <c:v>3.7079868752015117</c:v>
                  </c:pt>
                  <c:pt idx="19">
                    <c:v>5.6856544624754219</c:v>
                  </c:pt>
                  <c:pt idx="20">
                    <c:v>6.429100507328636</c:v>
                  </c:pt>
                  <c:pt idx="21">
                    <c:v>7.2020830320123377</c:v>
                  </c:pt>
                  <c:pt idx="22">
                    <c:v>6.7014923711066015</c:v>
                  </c:pt>
                  <c:pt idx="23">
                    <c:v>5.220472520120504</c:v>
                  </c:pt>
                  <c:pt idx="24">
                    <c:v>3.7749172176353749</c:v>
                  </c:pt>
                </c:numCache>
              </c:numRef>
            </c:plus>
            <c:minus>
              <c:numRef>
                <c:f>Biogás!$J$20:$J$44</c:f>
                <c:numCache>
                  <c:formatCode>General</c:formatCode>
                  <c:ptCount val="25"/>
                  <c:pt idx="0">
                    <c:v>6.2359174679165417</c:v>
                  </c:pt>
                  <c:pt idx="1">
                    <c:v>9.4625577937468872</c:v>
                  </c:pt>
                  <c:pt idx="2">
                    <c:v>10.862588703128424</c:v>
                  </c:pt>
                  <c:pt idx="3">
                    <c:v>11.775398082442903</c:v>
                  </c:pt>
                  <c:pt idx="4">
                    <c:v>12.708658465786238</c:v>
                  </c:pt>
                  <c:pt idx="5">
                    <c:v>17.341544529443343</c:v>
                  </c:pt>
                  <c:pt idx="6">
                    <c:v>18.920976014289892</c:v>
                  </c:pt>
                  <c:pt idx="7">
                    <c:v>15.916553228217055</c:v>
                  </c:pt>
                  <c:pt idx="8">
                    <c:v>14.579066042331631</c:v>
                  </c:pt>
                  <c:pt idx="9">
                    <c:v>16.026124505527427</c:v>
                  </c:pt>
                  <c:pt idx="10">
                    <c:v>15.342967987539668</c:v>
                  </c:pt>
                  <c:pt idx="11">
                    <c:v>16.345106301275631</c:v>
                  </c:pt>
                  <c:pt idx="12">
                    <c:v>14.886795043482891</c:v>
                  </c:pt>
                  <c:pt idx="13">
                    <c:v>13.740542201820078</c:v>
                  </c:pt>
                  <c:pt idx="14">
                    <c:v>12.385744493839134</c:v>
                  </c:pt>
                  <c:pt idx="15">
                    <c:v>9.9469844676665602</c:v>
                  </c:pt>
                  <c:pt idx="16">
                    <c:v>7.7822447489997453</c:v>
                  </c:pt>
                  <c:pt idx="17">
                    <c:v>5.7017541160593748</c:v>
                  </c:pt>
                  <c:pt idx="18">
                    <c:v>3.7079868752015117</c:v>
                  </c:pt>
                  <c:pt idx="19">
                    <c:v>5.6856544624754219</c:v>
                  </c:pt>
                  <c:pt idx="20">
                    <c:v>6.429100507328636</c:v>
                  </c:pt>
                  <c:pt idx="21">
                    <c:v>7.2020830320123377</c:v>
                  </c:pt>
                  <c:pt idx="22">
                    <c:v>6.7014923711066015</c:v>
                  </c:pt>
                  <c:pt idx="23">
                    <c:v>5.220472520120504</c:v>
                  </c:pt>
                  <c:pt idx="24">
                    <c:v>3.7749172176353749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Biogás!$A$20:$A$44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Biogás!$H$20:$H$45</c:f>
              <c:numCache>
                <c:formatCode>General</c:formatCode>
                <c:ptCount val="26"/>
                <c:pt idx="0">
                  <c:v>6.3</c:v>
                </c:pt>
                <c:pt idx="1">
                  <c:v>11.9</c:v>
                </c:pt>
                <c:pt idx="2">
                  <c:v>15.875000000000002</c:v>
                </c:pt>
                <c:pt idx="3">
                  <c:v>19.899999999999999</c:v>
                </c:pt>
                <c:pt idx="4">
                  <c:v>22.45</c:v>
                </c:pt>
                <c:pt idx="5">
                  <c:v>27.575000000000003</c:v>
                </c:pt>
                <c:pt idx="6">
                  <c:v>31.95</c:v>
                </c:pt>
                <c:pt idx="7">
                  <c:v>38.25</c:v>
                </c:pt>
                <c:pt idx="8">
                  <c:v>42.724999999999994</c:v>
                </c:pt>
                <c:pt idx="9">
                  <c:v>46.849999999999994</c:v>
                </c:pt>
                <c:pt idx="10">
                  <c:v>50.3</c:v>
                </c:pt>
                <c:pt idx="11">
                  <c:v>54.074999999999996</c:v>
                </c:pt>
                <c:pt idx="12">
                  <c:v>55.65</c:v>
                </c:pt>
                <c:pt idx="13">
                  <c:v>58.975000000000009</c:v>
                </c:pt>
                <c:pt idx="14">
                  <c:v>60.6</c:v>
                </c:pt>
                <c:pt idx="15">
                  <c:v>63.775000000000006</c:v>
                </c:pt>
                <c:pt idx="16">
                  <c:v>65.25</c:v>
                </c:pt>
                <c:pt idx="17">
                  <c:v>66.95</c:v>
                </c:pt>
                <c:pt idx="18">
                  <c:v>67.125</c:v>
                </c:pt>
                <c:pt idx="19">
                  <c:v>69.900000000000006</c:v>
                </c:pt>
                <c:pt idx="20">
                  <c:v>71.766666666666666</c:v>
                </c:pt>
                <c:pt idx="21">
                  <c:v>71</c:v>
                </c:pt>
                <c:pt idx="22">
                  <c:v>69</c:v>
                </c:pt>
                <c:pt idx="23">
                  <c:v>67.333333333333329</c:v>
                </c:pt>
                <c:pt idx="24">
                  <c:v>65.7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58-484C-B7BB-89FD596283A1}"/>
            </c:ext>
          </c:extLst>
        </c:ser>
        <c:ser>
          <c:idx val="1"/>
          <c:order val="1"/>
          <c:tx>
            <c:v>Digestor con calentador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Biogás!$U$20:$U$44</c:f>
                <c:numCache>
                  <c:formatCode>General</c:formatCode>
                  <c:ptCount val="25"/>
                  <c:pt idx="0">
                    <c:v>0.89582364335844566</c:v>
                  </c:pt>
                  <c:pt idx="1">
                    <c:v>9.8146149525422874</c:v>
                  </c:pt>
                  <c:pt idx="2">
                    <c:v>12.447322335881454</c:v>
                  </c:pt>
                  <c:pt idx="3">
                    <c:v>13.412773762350575</c:v>
                  </c:pt>
                  <c:pt idx="4">
                    <c:v>15.806538731381599</c:v>
                  </c:pt>
                  <c:pt idx="5">
                    <c:v>17.175758110391129</c:v>
                  </c:pt>
                  <c:pt idx="6">
                    <c:v>18.968746224601496</c:v>
                  </c:pt>
                  <c:pt idx="7">
                    <c:v>19.787769791801534</c:v>
                  </c:pt>
                  <c:pt idx="8">
                    <c:v>22.033081188673233</c:v>
                  </c:pt>
                  <c:pt idx="9">
                    <c:v>24.785530052835266</c:v>
                  </c:pt>
                  <c:pt idx="10">
                    <c:v>24.7350459874244</c:v>
                  </c:pt>
                  <c:pt idx="11">
                    <c:v>25.57229946641483</c:v>
                  </c:pt>
                  <c:pt idx="12">
                    <c:v>25.711783939146141</c:v>
                  </c:pt>
                  <c:pt idx="13">
                    <c:v>25.93239608417754</c:v>
                  </c:pt>
                  <c:pt idx="14">
                    <c:v>23.138910230749122</c:v>
                  </c:pt>
                  <c:pt idx="15">
                    <c:v>22.864309888266167</c:v>
                  </c:pt>
                  <c:pt idx="16">
                    <c:v>22.76217622870595</c:v>
                  </c:pt>
                  <c:pt idx="17">
                    <c:v>22.430187991484466</c:v>
                  </c:pt>
                  <c:pt idx="18">
                    <c:v>22.230215923377806</c:v>
                  </c:pt>
                  <c:pt idx="19">
                    <c:v>21.872433182737907</c:v>
                  </c:pt>
                  <c:pt idx="20">
                    <c:v>5.6559702969517138</c:v>
                  </c:pt>
                  <c:pt idx="21">
                    <c:v>3.4698703145794898</c:v>
                  </c:pt>
                  <c:pt idx="22">
                    <c:v>4.3</c:v>
                  </c:pt>
                  <c:pt idx="23">
                    <c:v>1.9655363983740715</c:v>
                  </c:pt>
                  <c:pt idx="24">
                    <c:v>0.49328828623162935</c:v>
                  </c:pt>
                </c:numCache>
              </c:numRef>
            </c:plus>
            <c:minus>
              <c:numRef>
                <c:f>Biogás!$U$20:$U$44</c:f>
                <c:numCache>
                  <c:formatCode>General</c:formatCode>
                  <c:ptCount val="25"/>
                  <c:pt idx="0">
                    <c:v>0.89582364335844566</c:v>
                  </c:pt>
                  <c:pt idx="1">
                    <c:v>9.8146149525422874</c:v>
                  </c:pt>
                  <c:pt idx="2">
                    <c:v>12.447322335881454</c:v>
                  </c:pt>
                  <c:pt idx="3">
                    <c:v>13.412773762350575</c:v>
                  </c:pt>
                  <c:pt idx="4">
                    <c:v>15.806538731381599</c:v>
                  </c:pt>
                  <c:pt idx="5">
                    <c:v>17.175758110391129</c:v>
                  </c:pt>
                  <c:pt idx="6">
                    <c:v>18.968746224601496</c:v>
                  </c:pt>
                  <c:pt idx="7">
                    <c:v>19.787769791801534</c:v>
                  </c:pt>
                  <c:pt idx="8">
                    <c:v>22.033081188673233</c:v>
                  </c:pt>
                  <c:pt idx="9">
                    <c:v>24.785530052835266</c:v>
                  </c:pt>
                  <c:pt idx="10">
                    <c:v>24.7350459874244</c:v>
                  </c:pt>
                  <c:pt idx="11">
                    <c:v>25.57229946641483</c:v>
                  </c:pt>
                  <c:pt idx="12">
                    <c:v>25.711783939146141</c:v>
                  </c:pt>
                  <c:pt idx="13">
                    <c:v>25.93239608417754</c:v>
                  </c:pt>
                  <c:pt idx="14">
                    <c:v>23.138910230749122</c:v>
                  </c:pt>
                  <c:pt idx="15">
                    <c:v>22.864309888266167</c:v>
                  </c:pt>
                  <c:pt idx="16">
                    <c:v>22.76217622870595</c:v>
                  </c:pt>
                  <c:pt idx="17">
                    <c:v>22.430187991484466</c:v>
                  </c:pt>
                  <c:pt idx="18">
                    <c:v>22.230215923377806</c:v>
                  </c:pt>
                  <c:pt idx="19">
                    <c:v>21.872433182737907</c:v>
                  </c:pt>
                  <c:pt idx="20">
                    <c:v>5.6559702969517138</c:v>
                  </c:pt>
                  <c:pt idx="21">
                    <c:v>3.4698703145794898</c:v>
                  </c:pt>
                  <c:pt idx="22">
                    <c:v>4.3</c:v>
                  </c:pt>
                  <c:pt idx="23">
                    <c:v>1.9655363983740715</c:v>
                  </c:pt>
                  <c:pt idx="24">
                    <c:v>0.49328828623162935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C00000"/>
                </a:solidFill>
                <a:round/>
              </a:ln>
              <a:effectLst/>
            </c:spPr>
          </c:errBars>
          <c:xVal>
            <c:numRef>
              <c:f>Biogás!$A$20:$A$44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Biogás!$S$20:$S$44</c:f>
              <c:numCache>
                <c:formatCode>General</c:formatCode>
                <c:ptCount val="25"/>
                <c:pt idx="0">
                  <c:v>1.425</c:v>
                </c:pt>
                <c:pt idx="1">
                  <c:v>6.5</c:v>
                </c:pt>
                <c:pt idx="2">
                  <c:v>8.6750000000000007</c:v>
                </c:pt>
                <c:pt idx="3">
                  <c:v>11.424999999999999</c:v>
                </c:pt>
                <c:pt idx="4">
                  <c:v>14.299999999999999</c:v>
                </c:pt>
                <c:pt idx="5">
                  <c:v>16.7</c:v>
                </c:pt>
                <c:pt idx="6">
                  <c:v>22.9</c:v>
                </c:pt>
                <c:pt idx="7">
                  <c:v>26.824999999999999</c:v>
                </c:pt>
                <c:pt idx="8">
                  <c:v>30.75</c:v>
                </c:pt>
                <c:pt idx="9">
                  <c:v>32.674999999999997</c:v>
                </c:pt>
                <c:pt idx="10">
                  <c:v>35.074999999999996</c:v>
                </c:pt>
                <c:pt idx="11">
                  <c:v>37.225000000000001</c:v>
                </c:pt>
                <c:pt idx="12">
                  <c:v>39.924999999999997</c:v>
                </c:pt>
                <c:pt idx="13">
                  <c:v>42.075000000000003</c:v>
                </c:pt>
                <c:pt idx="14">
                  <c:v>45.075000000000003</c:v>
                </c:pt>
                <c:pt idx="15">
                  <c:v>49.65</c:v>
                </c:pt>
                <c:pt idx="16">
                  <c:v>53.550000000000004</c:v>
                </c:pt>
                <c:pt idx="17">
                  <c:v>56.899999999999991</c:v>
                </c:pt>
                <c:pt idx="18">
                  <c:v>57.224999999999994</c:v>
                </c:pt>
                <c:pt idx="19">
                  <c:v>58.249999999999993</c:v>
                </c:pt>
                <c:pt idx="20">
                  <c:v>69.600000000000009</c:v>
                </c:pt>
                <c:pt idx="21">
                  <c:v>70.600000000000009</c:v>
                </c:pt>
                <c:pt idx="22">
                  <c:v>71.400000000000006</c:v>
                </c:pt>
                <c:pt idx="23">
                  <c:v>68.86666666666666</c:v>
                </c:pt>
                <c:pt idx="24">
                  <c:v>68.166666666666671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58-484C-B7BB-89FD59628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066720"/>
        <c:axId val="-2107915120"/>
      </c:scatterChart>
      <c:valAx>
        <c:axId val="-213306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Días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07915120"/>
        <c:crosses val="autoZero"/>
        <c:crossBetween val="midCat"/>
      </c:valAx>
      <c:valAx>
        <c:axId val="-2107915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Metano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3066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28258967629"/>
          <c:y val="6.0185185185185203E-2"/>
          <c:w val="0.81879396325459297"/>
          <c:h val="0.70935914260717403"/>
        </c:manualLayout>
      </c:layout>
      <c:scatterChart>
        <c:scatterStyle val="smoothMarker"/>
        <c:varyColors val="0"/>
        <c:ser>
          <c:idx val="0"/>
          <c:order val="0"/>
          <c:tx>
            <c:v>Digestor sin calentador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Biogás!$K$20:$K$44</c:f>
                <c:numCache>
                  <c:formatCode>General</c:formatCode>
                  <c:ptCount val="25"/>
                  <c:pt idx="0">
                    <c:v>2.6870057685088802</c:v>
                  </c:pt>
                  <c:pt idx="1">
                    <c:v>3.4648232278140862</c:v>
                  </c:pt>
                  <c:pt idx="2">
                    <c:v>11.950104602052651</c:v>
                  </c:pt>
                  <c:pt idx="3">
                    <c:v>16.122034611053287</c:v>
                  </c:pt>
                  <c:pt idx="4">
                    <c:v>20.506096654409877</c:v>
                  </c:pt>
                  <c:pt idx="5">
                    <c:v>20.364675298172585</c:v>
                  </c:pt>
                  <c:pt idx="6">
                    <c:v>23.970919882223971</c:v>
                  </c:pt>
                  <c:pt idx="7">
                    <c:v>22.48599564173221</c:v>
                  </c:pt>
                  <c:pt idx="8">
                    <c:v>20.435385976291236</c:v>
                  </c:pt>
                  <c:pt idx="9">
                    <c:v>18.314065632731598</c:v>
                  </c:pt>
                  <c:pt idx="10">
                    <c:v>18.526197667087551</c:v>
                  </c:pt>
                  <c:pt idx="11">
                    <c:v>16.68772003600251</c:v>
                  </c:pt>
                  <c:pt idx="12">
                    <c:v>16.829141392239812</c:v>
                  </c:pt>
                  <c:pt idx="13">
                    <c:v>18.384776310850235</c:v>
                  </c:pt>
                  <c:pt idx="14">
                    <c:v>14.495689014324224</c:v>
                  </c:pt>
                  <c:pt idx="15">
                    <c:v>12.374368670764582</c:v>
                  </c:pt>
                  <c:pt idx="16">
                    <c:v>8.5559920523572206</c:v>
                  </c:pt>
                  <c:pt idx="17">
                    <c:v>8.0610173055266703</c:v>
                  </c:pt>
                  <c:pt idx="18">
                    <c:v>4.0305086527633227</c:v>
                  </c:pt>
                  <c:pt idx="19">
                    <c:v>0.21213203435596725</c:v>
                  </c:pt>
                  <c:pt idx="20">
                    <c:v>1.2727922061357835</c:v>
                  </c:pt>
                  <c:pt idx="21">
                    <c:v>2.8991378028648458</c:v>
                  </c:pt>
                  <c:pt idx="22">
                    <c:v>13.08147545195113</c:v>
                  </c:pt>
                  <c:pt idx="23">
                    <c:v>7.6367532368147115</c:v>
                  </c:pt>
                  <c:pt idx="24">
                    <c:v>15.202795795510772</c:v>
                  </c:pt>
                </c:numCache>
              </c:numRef>
            </c:plus>
            <c:minus>
              <c:numRef>
                <c:f>Biogás!$K$20:$K$44</c:f>
                <c:numCache>
                  <c:formatCode>General</c:formatCode>
                  <c:ptCount val="25"/>
                  <c:pt idx="0">
                    <c:v>2.6870057685088802</c:v>
                  </c:pt>
                  <c:pt idx="1">
                    <c:v>3.4648232278140862</c:v>
                  </c:pt>
                  <c:pt idx="2">
                    <c:v>11.950104602052651</c:v>
                  </c:pt>
                  <c:pt idx="3">
                    <c:v>16.122034611053287</c:v>
                  </c:pt>
                  <c:pt idx="4">
                    <c:v>20.506096654409877</c:v>
                  </c:pt>
                  <c:pt idx="5">
                    <c:v>20.364675298172585</c:v>
                  </c:pt>
                  <c:pt idx="6">
                    <c:v>23.970919882223971</c:v>
                  </c:pt>
                  <c:pt idx="7">
                    <c:v>22.48599564173221</c:v>
                  </c:pt>
                  <c:pt idx="8">
                    <c:v>20.435385976291236</c:v>
                  </c:pt>
                  <c:pt idx="9">
                    <c:v>18.314065632731598</c:v>
                  </c:pt>
                  <c:pt idx="10">
                    <c:v>18.526197667087551</c:v>
                  </c:pt>
                  <c:pt idx="11">
                    <c:v>16.68772003600251</c:v>
                  </c:pt>
                  <c:pt idx="12">
                    <c:v>16.829141392239812</c:v>
                  </c:pt>
                  <c:pt idx="13">
                    <c:v>18.384776310850235</c:v>
                  </c:pt>
                  <c:pt idx="14">
                    <c:v>14.495689014324224</c:v>
                  </c:pt>
                  <c:pt idx="15">
                    <c:v>12.374368670764582</c:v>
                  </c:pt>
                  <c:pt idx="16">
                    <c:v>8.5559920523572206</c:v>
                  </c:pt>
                  <c:pt idx="17">
                    <c:v>8.0610173055266703</c:v>
                  </c:pt>
                  <c:pt idx="18">
                    <c:v>4.0305086527633227</c:v>
                  </c:pt>
                  <c:pt idx="19">
                    <c:v>0.21213203435596725</c:v>
                  </c:pt>
                  <c:pt idx="20">
                    <c:v>1.2727922061357835</c:v>
                  </c:pt>
                  <c:pt idx="21">
                    <c:v>2.8991378028648458</c:v>
                  </c:pt>
                  <c:pt idx="22">
                    <c:v>13.08147545195113</c:v>
                  </c:pt>
                  <c:pt idx="23">
                    <c:v>7.6367532368147115</c:v>
                  </c:pt>
                  <c:pt idx="24">
                    <c:v>15.202795795510772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Biogás!$L$20:$L$44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Biogás!$I$20:$I$44</c:f>
              <c:numCache>
                <c:formatCode>General</c:formatCode>
                <c:ptCount val="25"/>
                <c:pt idx="0">
                  <c:v>5.5</c:v>
                </c:pt>
                <c:pt idx="1">
                  <c:v>8.4499999999999993</c:v>
                </c:pt>
                <c:pt idx="2">
                  <c:v>18.05</c:v>
                </c:pt>
                <c:pt idx="3">
                  <c:v>21</c:v>
                </c:pt>
                <c:pt idx="4">
                  <c:v>28</c:v>
                </c:pt>
                <c:pt idx="5">
                  <c:v>40.799999999999997</c:v>
                </c:pt>
                <c:pt idx="6">
                  <c:v>45.25</c:v>
                </c:pt>
                <c:pt idx="7">
                  <c:v>46</c:v>
                </c:pt>
                <c:pt idx="8">
                  <c:v>47.849999999999994</c:v>
                </c:pt>
                <c:pt idx="9">
                  <c:v>49.849999999999994</c:v>
                </c:pt>
                <c:pt idx="10">
                  <c:v>50</c:v>
                </c:pt>
                <c:pt idx="11">
                  <c:v>49.400000000000006</c:v>
                </c:pt>
                <c:pt idx="12">
                  <c:v>50.5</c:v>
                </c:pt>
                <c:pt idx="13">
                  <c:v>51.599999999999994</c:v>
                </c:pt>
                <c:pt idx="14">
                  <c:v>53.25</c:v>
                </c:pt>
                <c:pt idx="15">
                  <c:v>53.75</c:v>
                </c:pt>
                <c:pt idx="16">
                  <c:v>53.150000000000006</c:v>
                </c:pt>
                <c:pt idx="17">
                  <c:v>52.8</c:v>
                </c:pt>
                <c:pt idx="18">
                  <c:v>51.35</c:v>
                </c:pt>
                <c:pt idx="19">
                  <c:v>51.95</c:v>
                </c:pt>
                <c:pt idx="20">
                  <c:v>54.1</c:v>
                </c:pt>
                <c:pt idx="21">
                  <c:v>56.95</c:v>
                </c:pt>
                <c:pt idx="22">
                  <c:v>51.75</c:v>
                </c:pt>
                <c:pt idx="23">
                  <c:v>54.6</c:v>
                </c:pt>
                <c:pt idx="24">
                  <c:v>47.25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BF-4866-A36A-B5D5D8F8EC91}"/>
            </c:ext>
          </c:extLst>
        </c:ser>
        <c:ser>
          <c:idx val="1"/>
          <c:order val="1"/>
          <c:tx>
            <c:v>Digestor con calentador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Biogás!$V$20:$V$44</c:f>
                <c:numCache>
                  <c:formatCode>General</c:formatCode>
                  <c:ptCount val="25"/>
                  <c:pt idx="0">
                    <c:v>1.4142135623730951</c:v>
                  </c:pt>
                  <c:pt idx="1">
                    <c:v>2.0506096654409869</c:v>
                  </c:pt>
                  <c:pt idx="2">
                    <c:v>1.4142135623730951</c:v>
                  </c:pt>
                  <c:pt idx="3">
                    <c:v>1.4142135623730951</c:v>
                  </c:pt>
                  <c:pt idx="4">
                    <c:v>5.5861435713737251</c:v>
                  </c:pt>
                  <c:pt idx="5">
                    <c:v>2.2627416997969543</c:v>
                  </c:pt>
                  <c:pt idx="6">
                    <c:v>2.3334523779156049</c:v>
                  </c:pt>
                  <c:pt idx="7">
                    <c:v>2.4748737341529163</c:v>
                  </c:pt>
                  <c:pt idx="8">
                    <c:v>0.28284271247461801</c:v>
                  </c:pt>
                  <c:pt idx="9">
                    <c:v>0.42426406871192951</c:v>
                  </c:pt>
                  <c:pt idx="10">
                    <c:v>0.14142135623731153</c:v>
                  </c:pt>
                  <c:pt idx="11">
                    <c:v>3.0405591591021524</c:v>
                  </c:pt>
                  <c:pt idx="12">
                    <c:v>2.7577164466275343</c:v>
                  </c:pt>
                  <c:pt idx="13">
                    <c:v>1.9798989873223309</c:v>
                  </c:pt>
                  <c:pt idx="14">
                    <c:v>0.98994949366116047</c:v>
                  </c:pt>
                  <c:pt idx="15">
                    <c:v>0.56568542494923602</c:v>
                  </c:pt>
                  <c:pt idx="16">
                    <c:v>0.70710678118654757</c:v>
                  </c:pt>
                  <c:pt idx="17">
                    <c:v>0.14142135623731153</c:v>
                  </c:pt>
                  <c:pt idx="18">
                    <c:v>1.0606601717798212</c:v>
                  </c:pt>
                  <c:pt idx="19">
                    <c:v>1.4849242404917458</c:v>
                  </c:pt>
                  <c:pt idx="20">
                    <c:v>0.70710678118654757</c:v>
                  </c:pt>
                  <c:pt idx="21">
                    <c:v>2.4748737341529163</c:v>
                  </c:pt>
                  <c:pt idx="22">
                    <c:v>3.1112698372208132</c:v>
                  </c:pt>
                  <c:pt idx="23">
                    <c:v>3.5355339059327426</c:v>
                  </c:pt>
                  <c:pt idx="24">
                    <c:v>3.8183766184073606</c:v>
                  </c:pt>
                </c:numCache>
              </c:numRef>
            </c:plus>
            <c:minus>
              <c:numRef>
                <c:f>Biogás!$V$20:$V$44</c:f>
                <c:numCache>
                  <c:formatCode>General</c:formatCode>
                  <c:ptCount val="25"/>
                  <c:pt idx="0">
                    <c:v>1.4142135623730951</c:v>
                  </c:pt>
                  <c:pt idx="1">
                    <c:v>2.0506096654409869</c:v>
                  </c:pt>
                  <c:pt idx="2">
                    <c:v>1.4142135623730951</c:v>
                  </c:pt>
                  <c:pt idx="3">
                    <c:v>1.4142135623730951</c:v>
                  </c:pt>
                  <c:pt idx="4">
                    <c:v>5.5861435713737251</c:v>
                  </c:pt>
                  <c:pt idx="5">
                    <c:v>2.2627416997969543</c:v>
                  </c:pt>
                  <c:pt idx="6">
                    <c:v>2.3334523779156049</c:v>
                  </c:pt>
                  <c:pt idx="7">
                    <c:v>2.4748737341529163</c:v>
                  </c:pt>
                  <c:pt idx="8">
                    <c:v>0.28284271247461801</c:v>
                  </c:pt>
                  <c:pt idx="9">
                    <c:v>0.42426406871192951</c:v>
                  </c:pt>
                  <c:pt idx="10">
                    <c:v>0.14142135623731153</c:v>
                  </c:pt>
                  <c:pt idx="11">
                    <c:v>3.0405591591021524</c:v>
                  </c:pt>
                  <c:pt idx="12">
                    <c:v>2.7577164466275343</c:v>
                  </c:pt>
                  <c:pt idx="13">
                    <c:v>1.9798989873223309</c:v>
                  </c:pt>
                  <c:pt idx="14">
                    <c:v>0.98994949366116047</c:v>
                  </c:pt>
                  <c:pt idx="15">
                    <c:v>0.56568542494923602</c:v>
                  </c:pt>
                  <c:pt idx="16">
                    <c:v>0.70710678118654757</c:v>
                  </c:pt>
                  <c:pt idx="17">
                    <c:v>0.14142135623731153</c:v>
                  </c:pt>
                  <c:pt idx="18">
                    <c:v>1.0606601717798212</c:v>
                  </c:pt>
                  <c:pt idx="19">
                    <c:v>1.4849242404917458</c:v>
                  </c:pt>
                  <c:pt idx="20">
                    <c:v>0.70710678118654757</c:v>
                  </c:pt>
                  <c:pt idx="21">
                    <c:v>2.4748737341529163</c:v>
                  </c:pt>
                  <c:pt idx="22">
                    <c:v>3.1112698372208132</c:v>
                  </c:pt>
                  <c:pt idx="23">
                    <c:v>3.5355339059327426</c:v>
                  </c:pt>
                  <c:pt idx="24">
                    <c:v>3.8183766184073606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C00000"/>
                </a:solidFill>
                <a:round/>
              </a:ln>
              <a:effectLst/>
            </c:spPr>
          </c:errBars>
          <c:xVal>
            <c:numRef>
              <c:f>Biogás!$L$20:$L$44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Biogás!$T$20:$T$44</c:f>
              <c:numCache>
                <c:formatCode>General</c:formatCode>
                <c:ptCount val="25"/>
                <c:pt idx="0">
                  <c:v>10.1</c:v>
                </c:pt>
                <c:pt idx="1">
                  <c:v>14.95</c:v>
                </c:pt>
                <c:pt idx="2">
                  <c:v>23.5</c:v>
                </c:pt>
                <c:pt idx="3">
                  <c:v>33.5</c:v>
                </c:pt>
                <c:pt idx="4">
                  <c:v>39.650000000000006</c:v>
                </c:pt>
                <c:pt idx="5">
                  <c:v>47.5</c:v>
                </c:pt>
                <c:pt idx="6">
                  <c:v>55.65</c:v>
                </c:pt>
                <c:pt idx="7">
                  <c:v>59.35</c:v>
                </c:pt>
                <c:pt idx="8">
                  <c:v>62.099999999999994</c:v>
                </c:pt>
                <c:pt idx="9">
                  <c:v>62.8</c:v>
                </c:pt>
                <c:pt idx="10">
                  <c:v>63</c:v>
                </c:pt>
                <c:pt idx="11">
                  <c:v>65.349999999999994</c:v>
                </c:pt>
                <c:pt idx="12">
                  <c:v>65.849999999999994</c:v>
                </c:pt>
                <c:pt idx="13">
                  <c:v>65.900000000000006</c:v>
                </c:pt>
                <c:pt idx="14">
                  <c:v>66.400000000000006</c:v>
                </c:pt>
                <c:pt idx="15">
                  <c:v>67.300000000000011</c:v>
                </c:pt>
                <c:pt idx="16">
                  <c:v>67.599999999999994</c:v>
                </c:pt>
                <c:pt idx="17">
                  <c:v>68.199999999999989</c:v>
                </c:pt>
                <c:pt idx="18">
                  <c:v>67.05</c:v>
                </c:pt>
                <c:pt idx="19">
                  <c:v>66.25</c:v>
                </c:pt>
                <c:pt idx="20">
                  <c:v>66.599999999999994</c:v>
                </c:pt>
                <c:pt idx="21">
                  <c:v>65.05</c:v>
                </c:pt>
                <c:pt idx="22">
                  <c:v>64.7</c:v>
                </c:pt>
                <c:pt idx="23">
                  <c:v>63.900000000000006</c:v>
                </c:pt>
                <c:pt idx="24">
                  <c:v>62.7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BF-4866-A36A-B5D5D8F8E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3122560"/>
        <c:axId val="-2131213968"/>
      </c:scatterChart>
      <c:valAx>
        <c:axId val="-212312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Días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1213968"/>
        <c:crosses val="autoZero"/>
        <c:crossBetween val="midCat"/>
      </c:valAx>
      <c:valAx>
        <c:axId val="-2131213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Metano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3122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77799650043701"/>
          <c:y val="0.91261519393409096"/>
          <c:w val="0.63879352580927395"/>
          <c:h val="8.7384806065908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Corrida 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Coliformes!$D$13:$D$14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0-4BF2-A97B-A88743637DE5}"/>
            </c:ext>
          </c:extLst>
        </c:ser>
        <c:ser>
          <c:idx val="1"/>
          <c:order val="1"/>
          <c:tx>
            <c:v>Corrida 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Coliformes!$E$13:$E$14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0-4BF2-A97B-A88743637DE5}"/>
            </c:ext>
          </c:extLst>
        </c:ser>
        <c:ser>
          <c:idx val="2"/>
          <c:order val="2"/>
          <c:tx>
            <c:v>Corrida 5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Coliformes!$F$13:$F$14</c:f>
              <c:numCache>
                <c:formatCode>0.00E+00</c:formatCode>
                <c:ptCount val="2"/>
                <c:pt idx="0">
                  <c:v>4090000</c:v>
                </c:pt>
                <c:pt idx="1">
                  <c:v>132000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0-4BF2-A97B-A88743637DE5}"/>
            </c:ext>
          </c:extLst>
        </c:ser>
        <c:ser>
          <c:idx val="3"/>
          <c:order val="3"/>
          <c:tx>
            <c:v>Corrida 6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Coliformes!$G$13:$G$14</c:f>
              <c:numCache>
                <c:formatCode>0.00E+00</c:formatCode>
                <c:ptCount val="2"/>
                <c:pt idx="0">
                  <c:v>3140000</c:v>
                </c:pt>
                <c:pt idx="1">
                  <c:v>196000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0-4BF2-A97B-A88743637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2134110352"/>
        <c:axId val="-2134106784"/>
      </c:barChart>
      <c:catAx>
        <c:axId val="-2134110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106784"/>
        <c:crosses val="autoZero"/>
        <c:auto val="1"/>
        <c:lblAlgn val="ctr"/>
        <c:lblOffset val="100"/>
        <c:noMultiLvlLbl val="0"/>
      </c:catAx>
      <c:valAx>
        <c:axId val="-213410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Coliformes fecales (NMP/g</a:t>
                </a:r>
                <a:r>
                  <a:rPr lang="es-ES_tradnl" baseline="0"/>
                  <a:t> ST)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11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Corrida 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Coliformes!$D$7:$D$8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7-422D-B24E-A59360470536}"/>
            </c:ext>
          </c:extLst>
        </c:ser>
        <c:ser>
          <c:idx val="1"/>
          <c:order val="1"/>
          <c:tx>
            <c:v>Corrida 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Coliformes!$E$7:$E$8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7-422D-B24E-A59360470536}"/>
            </c:ext>
          </c:extLst>
        </c:ser>
        <c:ser>
          <c:idx val="2"/>
          <c:order val="2"/>
          <c:tx>
            <c:v>Corrida 5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Coliformes!$F$7:$F$8</c:f>
              <c:numCache>
                <c:formatCode>0.00E+00</c:formatCode>
                <c:ptCount val="2"/>
                <c:pt idx="0">
                  <c:v>5380000</c:v>
                </c:pt>
                <c:pt idx="1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7-422D-B24E-A59360470536}"/>
            </c:ext>
          </c:extLst>
        </c:ser>
        <c:ser>
          <c:idx val="3"/>
          <c:order val="3"/>
          <c:tx>
            <c:v>Corrida 6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Coliformes!$G$7:$G$8</c:f>
              <c:numCache>
                <c:formatCode>0.00E+00</c:formatCode>
                <c:ptCount val="2"/>
                <c:pt idx="0">
                  <c:v>4360000</c:v>
                </c:pt>
                <c:pt idx="1">
                  <c:v>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F7-422D-B24E-A59360470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2134051776"/>
        <c:axId val="-2134048208"/>
      </c:barChart>
      <c:catAx>
        <c:axId val="-2134051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048208"/>
        <c:crosses val="autoZero"/>
        <c:auto val="1"/>
        <c:lblAlgn val="ctr"/>
        <c:lblOffset val="100"/>
        <c:noMultiLvlLbl val="0"/>
      </c:catAx>
      <c:valAx>
        <c:axId val="-213404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Coliformes fecales (NMP/g</a:t>
                </a:r>
                <a:r>
                  <a:rPr lang="es-ES_tradnl" baseline="0"/>
                  <a:t> ST)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05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SV'!$A$4:$A$9</c:f>
              <c:numCache>
                <c:formatCode>General</c:formatCode>
                <c:ptCount val="6"/>
                <c:pt idx="0">
                  <c:v>5.93</c:v>
                </c:pt>
                <c:pt idx="1">
                  <c:v>5.51</c:v>
                </c:pt>
                <c:pt idx="2">
                  <c:v>6.75</c:v>
                </c:pt>
                <c:pt idx="3">
                  <c:v>5.81</c:v>
                </c:pt>
                <c:pt idx="4">
                  <c:v>4.5</c:v>
                </c:pt>
                <c:pt idx="5">
                  <c:v>2.86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81-4C6D-9D39-9A96EA209AB6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SV'!$B$4:$B$9</c:f>
              <c:numCache>
                <c:formatCode>General</c:formatCode>
                <c:ptCount val="6"/>
                <c:pt idx="0">
                  <c:v>6.51</c:v>
                </c:pt>
                <c:pt idx="1">
                  <c:v>5.03</c:v>
                </c:pt>
                <c:pt idx="2">
                  <c:v>4.96</c:v>
                </c:pt>
                <c:pt idx="3">
                  <c:v>7.1</c:v>
                </c:pt>
                <c:pt idx="4">
                  <c:v>6.16</c:v>
                </c:pt>
                <c:pt idx="5">
                  <c:v>2.23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81-4C6D-9D39-9A96EA209AB6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SV'!$C$4:$C$9</c:f>
              <c:numCache>
                <c:formatCode>General</c:formatCode>
                <c:ptCount val="6"/>
                <c:pt idx="0">
                  <c:v>7.1</c:v>
                </c:pt>
                <c:pt idx="1">
                  <c:v>6.16</c:v>
                </c:pt>
                <c:pt idx="2">
                  <c:v>5.75</c:v>
                </c:pt>
                <c:pt idx="3">
                  <c:v>5.81</c:v>
                </c:pt>
                <c:pt idx="4">
                  <c:v>4.96</c:v>
                </c:pt>
                <c:pt idx="5">
                  <c:v>2.2000000000000002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81-4C6D-9D39-9A96EA209AB6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SV'!$D$4:$D$9</c:f>
              <c:numCache>
                <c:formatCode>General</c:formatCode>
                <c:ptCount val="6"/>
                <c:pt idx="0">
                  <c:v>6.32</c:v>
                </c:pt>
                <c:pt idx="1">
                  <c:v>3.33</c:v>
                </c:pt>
                <c:pt idx="2">
                  <c:v>1.0900000000000001</c:v>
                </c:pt>
                <c:pt idx="3">
                  <c:v>5.42</c:v>
                </c:pt>
                <c:pt idx="4">
                  <c:v>1.1000000000000001</c:v>
                </c:pt>
                <c:pt idx="5">
                  <c:v>1.28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181-4C6D-9D39-9A96EA209AB6}"/>
            </c:ext>
          </c:extLst>
        </c:ser>
        <c:ser>
          <c:idx val="4"/>
          <c:order val="4"/>
          <c:tx>
            <c:v>Corrida 5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SV'!$E$4:$E$9</c:f>
              <c:numCache>
                <c:formatCode>General</c:formatCode>
                <c:ptCount val="6"/>
                <c:pt idx="0">
                  <c:v>15.51</c:v>
                </c:pt>
                <c:pt idx="1">
                  <c:v>16.64</c:v>
                </c:pt>
                <c:pt idx="2">
                  <c:v>17.32</c:v>
                </c:pt>
                <c:pt idx="3">
                  <c:v>15.53</c:v>
                </c:pt>
                <c:pt idx="4">
                  <c:v>15.44</c:v>
                </c:pt>
                <c:pt idx="5">
                  <c:v>12.77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181-4C6D-9D39-9A96EA209AB6}"/>
            </c:ext>
          </c:extLst>
        </c:ser>
        <c:ser>
          <c:idx val="5"/>
          <c:order val="5"/>
          <c:tx>
            <c:v>Corrida 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SV'!$F$4:$F$9</c:f>
              <c:numCache>
                <c:formatCode>General</c:formatCode>
                <c:ptCount val="6"/>
                <c:pt idx="0">
                  <c:v>46.38</c:v>
                </c:pt>
                <c:pt idx="1">
                  <c:v>31.7</c:v>
                </c:pt>
                <c:pt idx="2">
                  <c:v>32.04</c:v>
                </c:pt>
                <c:pt idx="3">
                  <c:v>38.29</c:v>
                </c:pt>
                <c:pt idx="4">
                  <c:v>40.68</c:v>
                </c:pt>
                <c:pt idx="5">
                  <c:v>31.3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181-4C6D-9D39-9A96EA20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919792"/>
        <c:axId val="-2135613104"/>
      </c:scatterChart>
      <c:valAx>
        <c:axId val="-213491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613104"/>
        <c:crosses val="autoZero"/>
        <c:crossBetween val="midCat"/>
      </c:valAx>
      <c:valAx>
        <c:axId val="-213561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Sólidos totales del digestor sin serpentín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919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% Sólidos totales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SV'!$I$4:$I$9</c:f>
              <c:numCache>
                <c:formatCode>General</c:formatCode>
                <c:ptCount val="6"/>
                <c:pt idx="0">
                  <c:v>0.59299999999999997</c:v>
                </c:pt>
                <c:pt idx="1">
                  <c:v>0.55000000000000004</c:v>
                </c:pt>
                <c:pt idx="2">
                  <c:v>0.67500000000000004</c:v>
                </c:pt>
                <c:pt idx="3">
                  <c:v>0.58099999999999996</c:v>
                </c:pt>
                <c:pt idx="4">
                  <c:v>0.44900000000000001</c:v>
                </c:pt>
                <c:pt idx="5">
                  <c:v>0.28499999999999998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50-4A7B-9BEE-260A9241CB9E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SV'!$J$4:$J$9</c:f>
              <c:numCache>
                <c:formatCode>General</c:formatCode>
                <c:ptCount val="6"/>
                <c:pt idx="0">
                  <c:v>0.65</c:v>
                </c:pt>
                <c:pt idx="1">
                  <c:v>0.58099999999999996</c:v>
                </c:pt>
                <c:pt idx="2">
                  <c:v>0.495</c:v>
                </c:pt>
                <c:pt idx="3">
                  <c:v>0.71</c:v>
                </c:pt>
                <c:pt idx="4">
                  <c:v>0.61599999999999999</c:v>
                </c:pt>
                <c:pt idx="5">
                  <c:v>0.223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50-4A7B-9BEE-260A9241CB9E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SV'!$K$4:$K$9</c:f>
              <c:numCache>
                <c:formatCode>General</c:formatCode>
                <c:ptCount val="6"/>
                <c:pt idx="0">
                  <c:v>0.75</c:v>
                </c:pt>
                <c:pt idx="1">
                  <c:v>0.64</c:v>
                </c:pt>
                <c:pt idx="2">
                  <c:v>0.63</c:v>
                </c:pt>
                <c:pt idx="3">
                  <c:v>0.59699999999999998</c:v>
                </c:pt>
                <c:pt idx="4">
                  <c:v>0.51600000000000001</c:v>
                </c:pt>
                <c:pt idx="5">
                  <c:v>0.22900000000000001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50-4A7B-9BEE-260A9241CB9E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SV'!$L$4:$L$9</c:f>
              <c:numCache>
                <c:formatCode>General</c:formatCode>
                <c:ptCount val="6"/>
                <c:pt idx="0">
                  <c:v>0.29099999999999998</c:v>
                </c:pt>
                <c:pt idx="1">
                  <c:v>0.14499999999999999</c:v>
                </c:pt>
                <c:pt idx="2">
                  <c:v>0.05</c:v>
                </c:pt>
                <c:pt idx="3">
                  <c:v>0.245</c:v>
                </c:pt>
                <c:pt idx="4">
                  <c:v>5.0999999999999997E-2</c:v>
                </c:pt>
                <c:pt idx="5">
                  <c:v>6.0999999999999999E-2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50-4A7B-9BEE-260A9241CB9E}"/>
            </c:ext>
          </c:extLst>
        </c:ser>
        <c:ser>
          <c:idx val="4"/>
          <c:order val="4"/>
          <c:tx>
            <c:v>Corrida 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SV'!$M$4:$M$9</c:f>
              <c:numCache>
                <c:formatCode>General</c:formatCode>
                <c:ptCount val="6"/>
                <c:pt idx="0">
                  <c:v>1.177</c:v>
                </c:pt>
                <c:pt idx="1">
                  <c:v>0.76</c:v>
                </c:pt>
                <c:pt idx="2">
                  <c:v>0.81399999999999995</c:v>
                </c:pt>
                <c:pt idx="3">
                  <c:v>0.73099999999999998</c:v>
                </c:pt>
                <c:pt idx="4">
                  <c:v>0.72699999999999998</c:v>
                </c:pt>
                <c:pt idx="5">
                  <c:v>0.59299999999999997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50-4A7B-9BEE-260A9241CB9E}"/>
            </c:ext>
          </c:extLst>
        </c:ser>
        <c:ser>
          <c:idx val="5"/>
          <c:order val="5"/>
          <c:tx>
            <c:v>Corrida 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SV'!$O$4:$O$9</c:f>
              <c:numCache>
                <c:formatCode>General</c:formatCode>
                <c:ptCount val="6"/>
                <c:pt idx="0">
                  <c:v>3.33</c:v>
                </c:pt>
                <c:pt idx="1">
                  <c:v>2.29</c:v>
                </c:pt>
                <c:pt idx="2">
                  <c:v>2.4300000000000002</c:v>
                </c:pt>
                <c:pt idx="3">
                  <c:v>2.8</c:v>
                </c:pt>
                <c:pt idx="4">
                  <c:v>2.89</c:v>
                </c:pt>
                <c:pt idx="5">
                  <c:v>2.7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50-4A7B-9BEE-260A9241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671008"/>
        <c:axId val="-2135690096"/>
      </c:scatterChart>
      <c:valAx>
        <c:axId val="-213567100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690096"/>
        <c:crosses val="autoZero"/>
        <c:crossBetween val="midCat"/>
      </c:valAx>
      <c:valAx>
        <c:axId val="-21356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671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SV'!$A$17:$A$22</c:f>
              <c:numCache>
                <c:formatCode>General</c:formatCode>
                <c:ptCount val="6"/>
                <c:pt idx="0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39-42A1-931F-372680AB33C8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SV'!$B$17:$B$22</c:f>
              <c:numCache>
                <c:formatCode>General</c:formatCode>
                <c:ptCount val="6"/>
                <c:pt idx="0">
                  <c:v>0.1</c:v>
                </c:pt>
                <c:pt idx="1">
                  <c:v>0.06</c:v>
                </c:pt>
                <c:pt idx="2">
                  <c:v>0.06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39-42A1-931F-372680AB33C8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SV'!$C$17:$C$22</c:f>
              <c:numCache>
                <c:formatCode>General</c:formatCode>
                <c:ptCount val="6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0.06</c:v>
                </c:pt>
                <c:pt idx="5">
                  <c:v>0.03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39-42A1-931F-372680AB33C8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SV'!$D$17:$D$22</c:f>
              <c:numCache>
                <c:formatCode>General</c:formatCode>
                <c:ptCount val="6"/>
                <c:pt idx="0">
                  <c:v>0.06</c:v>
                </c:pt>
                <c:pt idx="1">
                  <c:v>0.03</c:v>
                </c:pt>
                <c:pt idx="2">
                  <c:v>0.01</c:v>
                </c:pt>
                <c:pt idx="3">
                  <c:v>0.1</c:v>
                </c:pt>
                <c:pt idx="4">
                  <c:v>0.02</c:v>
                </c:pt>
                <c:pt idx="5">
                  <c:v>0.02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39-42A1-931F-372680AB33C8}"/>
            </c:ext>
          </c:extLst>
        </c:ser>
        <c:ser>
          <c:idx val="4"/>
          <c:order val="4"/>
          <c:tx>
            <c:v>Corrida 5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SV'!$E$17:$E$22</c:f>
              <c:numCache>
                <c:formatCode>General</c:formatCode>
                <c:ptCount val="6"/>
                <c:pt idx="0">
                  <c:v>0.06</c:v>
                </c:pt>
                <c:pt idx="1">
                  <c:v>0.13</c:v>
                </c:pt>
                <c:pt idx="2">
                  <c:v>0.1</c:v>
                </c:pt>
                <c:pt idx="3">
                  <c:v>0.16</c:v>
                </c:pt>
                <c:pt idx="4">
                  <c:v>0.11</c:v>
                </c:pt>
                <c:pt idx="5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39-42A1-931F-372680AB33C8}"/>
            </c:ext>
          </c:extLst>
        </c:ser>
        <c:ser>
          <c:idx val="5"/>
          <c:order val="5"/>
          <c:tx>
            <c:v>Corrida 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SV'!$F$17:$F$22</c:f>
              <c:numCache>
                <c:formatCode>General</c:formatCode>
                <c:ptCount val="6"/>
                <c:pt idx="0">
                  <c:v>0.34</c:v>
                </c:pt>
                <c:pt idx="1">
                  <c:v>0.22</c:v>
                </c:pt>
                <c:pt idx="2">
                  <c:v>0.22</c:v>
                </c:pt>
                <c:pt idx="3">
                  <c:v>0.25</c:v>
                </c:pt>
                <c:pt idx="4">
                  <c:v>0.25</c:v>
                </c:pt>
                <c:pt idx="5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39-42A1-931F-372680AB3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072352"/>
        <c:axId val="-2134033712"/>
      </c:scatterChart>
      <c:valAx>
        <c:axId val="-2134072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</a:t>
                </a:r>
                <a:r>
                  <a:rPr lang="es-ES_tradnl" baseline="0"/>
                  <a:t> transcurrido (Días)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033712"/>
        <c:crosses val="autoZero"/>
        <c:crossBetween val="midCat"/>
      </c:valAx>
      <c:valAx>
        <c:axId val="-213403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Sólidos volátiles del digestor sin serpentín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407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% Sólidos volátiles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SV'!$I$17:$I$22</c:f>
              <c:numCache>
                <c:formatCode>General</c:formatCode>
                <c:ptCount val="6"/>
                <c:pt idx="0">
                  <c:v>29.67</c:v>
                </c:pt>
                <c:pt idx="1">
                  <c:v>46.41</c:v>
                </c:pt>
                <c:pt idx="2">
                  <c:v>38.86</c:v>
                </c:pt>
                <c:pt idx="3">
                  <c:v>11.55</c:v>
                </c:pt>
                <c:pt idx="4">
                  <c:v>3.09</c:v>
                </c:pt>
                <c:pt idx="5">
                  <c:v>1.75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51-46C0-A087-786E0163C59C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SV'!$J$17:$J$22</c:f>
              <c:numCache>
                <c:formatCode>General</c:formatCode>
                <c:ptCount val="6"/>
                <c:pt idx="0">
                  <c:v>72.31</c:v>
                </c:pt>
                <c:pt idx="1">
                  <c:v>69.489999999999995</c:v>
                </c:pt>
                <c:pt idx="2">
                  <c:v>42.33</c:v>
                </c:pt>
                <c:pt idx="3">
                  <c:v>55.38</c:v>
                </c:pt>
                <c:pt idx="4">
                  <c:v>55.14</c:v>
                </c:pt>
                <c:pt idx="5">
                  <c:v>53.38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51-46C0-A087-786E0163C59C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SV'!$K$17:$K$22</c:f>
              <c:numCache>
                <c:formatCode>General</c:formatCode>
                <c:ptCount val="6"/>
                <c:pt idx="0">
                  <c:v>55.38</c:v>
                </c:pt>
                <c:pt idx="1">
                  <c:v>55.14</c:v>
                </c:pt>
                <c:pt idx="2">
                  <c:v>8.4600000000000009</c:v>
                </c:pt>
                <c:pt idx="3">
                  <c:v>69.489999999999995</c:v>
                </c:pt>
                <c:pt idx="4">
                  <c:v>42.33</c:v>
                </c:pt>
                <c:pt idx="5">
                  <c:v>39.58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551-46C0-A087-786E0163C59C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SV'!$L$17:$L$22</c:f>
              <c:numCache>
                <c:formatCode>General</c:formatCode>
                <c:ptCount val="6"/>
                <c:pt idx="0">
                  <c:v>44.56</c:v>
                </c:pt>
                <c:pt idx="1">
                  <c:v>42.46</c:v>
                </c:pt>
                <c:pt idx="2">
                  <c:v>56.27</c:v>
                </c:pt>
                <c:pt idx="3">
                  <c:v>83.42</c:v>
                </c:pt>
                <c:pt idx="4">
                  <c:v>72.959999999999994</c:v>
                </c:pt>
                <c:pt idx="5">
                  <c:v>67.489999999999995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551-46C0-A087-786E0163C59C}"/>
            </c:ext>
          </c:extLst>
        </c:ser>
        <c:ser>
          <c:idx val="4"/>
          <c:order val="4"/>
          <c:tx>
            <c:v>Corrida 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SV'!$M$17:$M$22</c:f>
              <c:numCache>
                <c:formatCode>General</c:formatCode>
                <c:ptCount val="6"/>
                <c:pt idx="0">
                  <c:v>29.27</c:v>
                </c:pt>
                <c:pt idx="1">
                  <c:v>38.15</c:v>
                </c:pt>
                <c:pt idx="2">
                  <c:v>36.119999999999997</c:v>
                </c:pt>
                <c:pt idx="3">
                  <c:v>40.122999999999998</c:v>
                </c:pt>
                <c:pt idx="4">
                  <c:v>35.771999999999998</c:v>
                </c:pt>
                <c:pt idx="5">
                  <c:v>29.780999999999999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551-46C0-A087-786E0163C59C}"/>
            </c:ext>
          </c:extLst>
        </c:ser>
        <c:ser>
          <c:idx val="5"/>
          <c:order val="5"/>
          <c:tx>
            <c:v>Corrida 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'ST, SV'!$N$4:$N$9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SV'!$N$17:$N$22</c:f>
              <c:numCache>
                <c:formatCode>General</c:formatCode>
                <c:ptCount val="6"/>
                <c:pt idx="0">
                  <c:v>38.65</c:v>
                </c:pt>
                <c:pt idx="1">
                  <c:v>38.65</c:v>
                </c:pt>
                <c:pt idx="2">
                  <c:v>38.380000000000003</c:v>
                </c:pt>
                <c:pt idx="3">
                  <c:v>38.01</c:v>
                </c:pt>
                <c:pt idx="4">
                  <c:v>38.78</c:v>
                </c:pt>
                <c:pt idx="5">
                  <c:v>37.01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551-46C0-A087-786E0163C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720720"/>
        <c:axId val="-2135726208"/>
      </c:scatterChart>
      <c:valAx>
        <c:axId val="-2135720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726208"/>
        <c:crosses val="autoZero"/>
        <c:crossBetween val="midCat"/>
      </c:valAx>
      <c:valAx>
        <c:axId val="-213572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720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SV'!$A$29:$A$34</c:f>
              <c:numCache>
                <c:formatCode>General</c:formatCode>
                <c:ptCount val="6"/>
                <c:pt idx="0">
                  <c:v>16.66</c:v>
                </c:pt>
                <c:pt idx="1">
                  <c:v>6.45</c:v>
                </c:pt>
                <c:pt idx="2">
                  <c:v>7.92</c:v>
                </c:pt>
                <c:pt idx="3">
                  <c:v>10.95</c:v>
                </c:pt>
                <c:pt idx="4">
                  <c:v>4.41</c:v>
                </c:pt>
                <c:pt idx="5">
                  <c:v>3.54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A8-472A-8A24-D804A7E970C8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SV'!$B$29:$B$34</c:f>
              <c:numCache>
                <c:formatCode>General</c:formatCode>
                <c:ptCount val="6"/>
                <c:pt idx="0">
                  <c:v>14.13</c:v>
                </c:pt>
                <c:pt idx="1">
                  <c:v>1</c:v>
                </c:pt>
                <c:pt idx="2">
                  <c:v>3.04</c:v>
                </c:pt>
                <c:pt idx="3">
                  <c:v>6.67</c:v>
                </c:pt>
                <c:pt idx="4">
                  <c:v>3.76</c:v>
                </c:pt>
                <c:pt idx="5">
                  <c:v>2.4900000000000002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A8-472A-8A24-D804A7E970C8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SV'!$C$29:$C$34</c:f>
              <c:numCache>
                <c:formatCode>General</c:formatCode>
                <c:ptCount val="6"/>
                <c:pt idx="0">
                  <c:v>7.24</c:v>
                </c:pt>
                <c:pt idx="1">
                  <c:v>7.16</c:v>
                </c:pt>
                <c:pt idx="2">
                  <c:v>6.1</c:v>
                </c:pt>
                <c:pt idx="3">
                  <c:v>4</c:v>
                </c:pt>
                <c:pt idx="4">
                  <c:v>3.13</c:v>
                </c:pt>
                <c:pt idx="5">
                  <c:v>1.03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A8-472A-8A24-D804A7E970C8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SV'!$D$29:$D$34</c:f>
              <c:numCache>
                <c:formatCode>General</c:formatCode>
                <c:ptCount val="6"/>
                <c:pt idx="0">
                  <c:v>5.8</c:v>
                </c:pt>
                <c:pt idx="1">
                  <c:v>0.56999999999999995</c:v>
                </c:pt>
                <c:pt idx="2">
                  <c:v>0.95</c:v>
                </c:pt>
                <c:pt idx="3">
                  <c:v>1.1299999999999999</c:v>
                </c:pt>
                <c:pt idx="4">
                  <c:v>1.1499999999999999</c:v>
                </c:pt>
                <c:pt idx="5">
                  <c:v>0.42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A8-472A-8A24-D804A7E970C8}"/>
            </c:ext>
          </c:extLst>
        </c:ser>
        <c:ser>
          <c:idx val="4"/>
          <c:order val="4"/>
          <c:tx>
            <c:v>Corrida 5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SV'!$E$29:$E$34</c:f>
              <c:numCache>
                <c:formatCode>General</c:formatCode>
                <c:ptCount val="6"/>
                <c:pt idx="0">
                  <c:v>16.54</c:v>
                </c:pt>
                <c:pt idx="1">
                  <c:v>15.57</c:v>
                </c:pt>
                <c:pt idx="2">
                  <c:v>17.32</c:v>
                </c:pt>
                <c:pt idx="3">
                  <c:v>15.95</c:v>
                </c:pt>
                <c:pt idx="4">
                  <c:v>14.98</c:v>
                </c:pt>
                <c:pt idx="5">
                  <c:v>12.37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A8-472A-8A24-D804A7E970C8}"/>
            </c:ext>
          </c:extLst>
        </c:ser>
        <c:ser>
          <c:idx val="5"/>
          <c:order val="5"/>
          <c:tx>
            <c:v>Corrida 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SV'!$F$29:$F$34</c:f>
              <c:numCache>
                <c:formatCode>General</c:formatCode>
                <c:ptCount val="6"/>
                <c:pt idx="0">
                  <c:v>48.3</c:v>
                </c:pt>
                <c:pt idx="1">
                  <c:v>35.65</c:v>
                </c:pt>
                <c:pt idx="2">
                  <c:v>32.590000000000003</c:v>
                </c:pt>
                <c:pt idx="3">
                  <c:v>24.8</c:v>
                </c:pt>
                <c:pt idx="4">
                  <c:v>22.64</c:v>
                </c:pt>
                <c:pt idx="5">
                  <c:v>15.36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A8-472A-8A24-D804A7E97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812720"/>
        <c:axId val="-2135818368"/>
      </c:scatterChart>
      <c:valAx>
        <c:axId val="-213581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818368"/>
        <c:crosses val="autoZero"/>
        <c:crossBetween val="midCat"/>
      </c:valAx>
      <c:valAx>
        <c:axId val="-213581836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Sólidos</a:t>
                </a:r>
                <a:r>
                  <a:rPr lang="es-ES_tradnl" baseline="0"/>
                  <a:t> totales del digestor con serpentín (mg/L)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812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% sólidos totales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SV'!$I$29:$I$34</c:f>
              <c:numCache>
                <c:formatCode>General</c:formatCode>
                <c:ptCount val="6"/>
                <c:pt idx="0">
                  <c:v>1.6659999999999999</c:v>
                </c:pt>
                <c:pt idx="1">
                  <c:v>0.64500000000000002</c:v>
                </c:pt>
                <c:pt idx="2">
                  <c:v>0.79200000000000004</c:v>
                </c:pt>
                <c:pt idx="3">
                  <c:v>1.095</c:v>
                </c:pt>
                <c:pt idx="4">
                  <c:v>0.44</c:v>
                </c:pt>
                <c:pt idx="5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DA-4B60-8F7E-954084CC4132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SV'!$J$29:$J$34</c:f>
              <c:numCache>
                <c:formatCode>General</c:formatCode>
                <c:ptCount val="6"/>
                <c:pt idx="0">
                  <c:v>1.4119999999999999</c:v>
                </c:pt>
                <c:pt idx="1">
                  <c:v>9.8000000000000004E-2</c:v>
                </c:pt>
                <c:pt idx="2">
                  <c:v>0.30299999999999999</c:v>
                </c:pt>
                <c:pt idx="3">
                  <c:v>0.67200000000000004</c:v>
                </c:pt>
                <c:pt idx="4">
                  <c:v>0.376</c:v>
                </c:pt>
                <c:pt idx="5">
                  <c:v>0.215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DA-4B60-8F7E-954084CC4132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SV'!$K$29:$K$34</c:f>
              <c:numCache>
                <c:formatCode>General</c:formatCode>
                <c:ptCount val="6"/>
                <c:pt idx="0">
                  <c:v>0.72399999999999998</c:v>
                </c:pt>
                <c:pt idx="1">
                  <c:v>0.71499999999999997</c:v>
                </c:pt>
                <c:pt idx="2">
                  <c:v>0.65</c:v>
                </c:pt>
                <c:pt idx="3">
                  <c:v>0.4</c:v>
                </c:pt>
                <c:pt idx="4">
                  <c:v>0.313</c:v>
                </c:pt>
                <c:pt idx="5">
                  <c:v>0.10199999999999999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DA-4B60-8F7E-954084CC4132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SV'!$L$29:$L$34</c:f>
              <c:numCache>
                <c:formatCode>General</c:formatCode>
                <c:ptCount val="6"/>
                <c:pt idx="0">
                  <c:v>0.28399999999999997</c:v>
                </c:pt>
                <c:pt idx="1">
                  <c:v>2.5000000000000001E-2</c:v>
                </c:pt>
                <c:pt idx="2">
                  <c:v>4.4999999999999998E-2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3.7999999999999999E-2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DA-4B60-8F7E-954084CC4132}"/>
            </c:ext>
          </c:extLst>
        </c:ser>
        <c:ser>
          <c:idx val="4"/>
          <c:order val="4"/>
          <c:tx>
            <c:v>Corrida 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SV'!$M$29:$M$34</c:f>
              <c:numCache>
                <c:formatCode>General</c:formatCode>
                <c:ptCount val="6"/>
                <c:pt idx="0">
                  <c:v>1.71</c:v>
                </c:pt>
                <c:pt idx="1">
                  <c:v>0.7</c:v>
                </c:pt>
                <c:pt idx="2">
                  <c:v>0.77800000000000002</c:v>
                </c:pt>
                <c:pt idx="3">
                  <c:v>0.76</c:v>
                </c:pt>
                <c:pt idx="4">
                  <c:v>1.57</c:v>
                </c:pt>
                <c:pt idx="5">
                  <c:v>1.49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CDA-4B60-8F7E-954084CC4132}"/>
            </c:ext>
          </c:extLst>
        </c:ser>
        <c:ser>
          <c:idx val="5"/>
          <c:order val="5"/>
          <c:tx>
            <c:v>Corrida 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SV'!$O$29:$O$34</c:f>
              <c:numCache>
                <c:formatCode>General</c:formatCode>
                <c:ptCount val="6"/>
                <c:pt idx="4">
                  <c:v>1.04</c:v>
                </c:pt>
                <c:pt idx="5">
                  <c:v>0.72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CDA-4B60-8F7E-954084CC4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876272"/>
        <c:axId val="-2135881760"/>
      </c:scatterChart>
      <c:valAx>
        <c:axId val="-213587627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881760"/>
        <c:crosses val="autoZero"/>
        <c:crossBetween val="midCat"/>
      </c:valAx>
      <c:valAx>
        <c:axId val="-213588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876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% sólidos</a:t>
            </a:r>
            <a:r>
              <a:rPr lang="es-ES_tradnl" baseline="0"/>
              <a:t> volátiles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SV'!$I$42:$I$47</c:f>
              <c:numCache>
                <c:formatCode>General</c:formatCode>
                <c:ptCount val="6"/>
                <c:pt idx="0">
                  <c:v>78.680000000000007</c:v>
                </c:pt>
                <c:pt idx="1">
                  <c:v>36.39</c:v>
                </c:pt>
                <c:pt idx="2">
                  <c:v>32.869999999999997</c:v>
                </c:pt>
                <c:pt idx="3">
                  <c:v>8.0299999999999994</c:v>
                </c:pt>
                <c:pt idx="4">
                  <c:v>31.69</c:v>
                </c:pt>
                <c:pt idx="5">
                  <c:v>28.2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9F-48E9-81C5-7A846C1EDF5B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SV'!$J$42:$J$47</c:f>
              <c:numCache>
                <c:formatCode>General</c:formatCode>
                <c:ptCount val="6"/>
                <c:pt idx="0">
                  <c:v>49</c:v>
                </c:pt>
                <c:pt idx="1">
                  <c:v>70.48</c:v>
                </c:pt>
                <c:pt idx="2">
                  <c:v>76.73</c:v>
                </c:pt>
                <c:pt idx="3">
                  <c:v>49.44</c:v>
                </c:pt>
                <c:pt idx="4">
                  <c:v>46.17</c:v>
                </c:pt>
                <c:pt idx="5">
                  <c:v>43.68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9F-48E9-81C5-7A846C1EDF5B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SV'!$K$42:$K$47</c:f>
              <c:numCache>
                <c:formatCode>General</c:formatCode>
                <c:ptCount val="6"/>
                <c:pt idx="0">
                  <c:v>38.619999999999997</c:v>
                </c:pt>
                <c:pt idx="1">
                  <c:v>55.2</c:v>
                </c:pt>
                <c:pt idx="2">
                  <c:v>56.23</c:v>
                </c:pt>
                <c:pt idx="3">
                  <c:v>46.17</c:v>
                </c:pt>
                <c:pt idx="4">
                  <c:v>76.73</c:v>
                </c:pt>
                <c:pt idx="5">
                  <c:v>70.48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9F-48E9-81C5-7A846C1EDF5B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SV'!$L$42:$L$47</c:f>
              <c:numCache>
                <c:formatCode>General</c:formatCode>
                <c:ptCount val="6"/>
                <c:pt idx="0">
                  <c:v>45.05</c:v>
                </c:pt>
                <c:pt idx="1">
                  <c:v>75.12</c:v>
                </c:pt>
                <c:pt idx="2">
                  <c:v>65.42</c:v>
                </c:pt>
                <c:pt idx="3">
                  <c:v>68.42</c:v>
                </c:pt>
                <c:pt idx="4">
                  <c:v>68.27</c:v>
                </c:pt>
                <c:pt idx="5">
                  <c:v>55.81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9F-48E9-81C5-7A846C1EDF5B}"/>
            </c:ext>
          </c:extLst>
        </c:ser>
        <c:ser>
          <c:idx val="4"/>
          <c:order val="4"/>
          <c:tx>
            <c:v>Corrida 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SV'!$M$42:$M$47</c:f>
              <c:numCache>
                <c:formatCode>General</c:formatCode>
                <c:ptCount val="6"/>
                <c:pt idx="0">
                  <c:v>50.9</c:v>
                </c:pt>
                <c:pt idx="1">
                  <c:v>34.369999999999997</c:v>
                </c:pt>
                <c:pt idx="2">
                  <c:v>3.87</c:v>
                </c:pt>
                <c:pt idx="3">
                  <c:v>63.09</c:v>
                </c:pt>
                <c:pt idx="4">
                  <c:v>61.22</c:v>
                </c:pt>
                <c:pt idx="5">
                  <c:v>52.11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9F-48E9-81C5-7A846C1EDF5B}"/>
            </c:ext>
          </c:extLst>
        </c:ser>
        <c:ser>
          <c:idx val="5"/>
          <c:order val="5"/>
          <c:tx>
            <c:v>Corrida 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SV'!$N$42:$N$47</c:f>
              <c:numCache>
                <c:formatCode>General</c:formatCode>
                <c:ptCount val="6"/>
                <c:pt idx="0">
                  <c:v>39.799999999999997</c:v>
                </c:pt>
                <c:pt idx="4">
                  <c:v>39.89</c:v>
                </c:pt>
                <c:pt idx="5">
                  <c:v>41.56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9F-48E9-81C5-7A846C1ED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939776"/>
        <c:axId val="-2135945264"/>
      </c:scatterChart>
      <c:valAx>
        <c:axId val="-21359397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945264"/>
        <c:crosses val="autoZero"/>
        <c:crossBetween val="midCat"/>
      </c:valAx>
      <c:valAx>
        <c:axId val="-213594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5939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Corrida 1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SV'!$A$42:$A$47</c:f>
              <c:numCache>
                <c:formatCode>General</c:formatCode>
                <c:ptCount val="6"/>
                <c:pt idx="0">
                  <c:v>0.26</c:v>
                </c:pt>
                <c:pt idx="1">
                  <c:v>0.04</c:v>
                </c:pt>
                <c:pt idx="2">
                  <c:v>0.06</c:v>
                </c:pt>
                <c:pt idx="3">
                  <c:v>0.02</c:v>
                </c:pt>
                <c:pt idx="4">
                  <c:v>0.03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BA-424A-AB39-BC561E7D3B8A}"/>
            </c:ext>
          </c:extLst>
        </c:ser>
        <c:ser>
          <c:idx val="1"/>
          <c:order val="1"/>
          <c:tx>
            <c:v>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SV'!$B$42:$B$47</c:f>
              <c:numCache>
                <c:formatCode>General</c:formatCode>
                <c:ptCount val="6"/>
                <c:pt idx="0">
                  <c:v>0.14000000000000001</c:v>
                </c:pt>
                <c:pt idx="1">
                  <c:v>0.01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0.03</c:v>
                </c:pt>
                <c:pt idx="5">
                  <c:v>0.02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BA-424A-AB39-BC561E7D3B8A}"/>
            </c:ext>
          </c:extLst>
        </c:ser>
        <c:ser>
          <c:idx val="2"/>
          <c:order val="2"/>
          <c:tx>
            <c:v>Corrida 3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SV'!$C$42:$C$47</c:f>
              <c:numCache>
                <c:formatCode>General</c:formatCode>
                <c:ptCount val="6"/>
                <c:pt idx="0">
                  <c:v>0.05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0.05</c:v>
                </c:pt>
                <c:pt idx="5">
                  <c:v>0.03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BA-424A-AB39-BC561E7D3B8A}"/>
            </c:ext>
          </c:extLst>
        </c:ser>
        <c:ser>
          <c:idx val="3"/>
          <c:order val="3"/>
          <c:tx>
            <c:v>Corrida 4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SV'!$D$42:$D$47</c:f>
              <c:numCache>
                <c:formatCode>General</c:formatCode>
                <c:ptCount val="6"/>
                <c:pt idx="0">
                  <c:v>0.05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BA-424A-AB39-BC561E7D3B8A}"/>
            </c:ext>
          </c:extLst>
        </c:ser>
        <c:ser>
          <c:idx val="4"/>
          <c:order val="4"/>
          <c:tx>
            <c:v>Corrida 5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SV'!$E$42:$E$47</c:f>
              <c:numCache>
                <c:formatCode>General</c:formatCode>
                <c:ptCount val="6"/>
                <c:pt idx="0">
                  <c:v>0.17</c:v>
                </c:pt>
                <c:pt idx="1">
                  <c:v>0.11</c:v>
                </c:pt>
                <c:pt idx="2">
                  <c:v>0.01</c:v>
                </c:pt>
                <c:pt idx="3">
                  <c:v>0.2</c:v>
                </c:pt>
                <c:pt idx="4">
                  <c:v>0.19</c:v>
                </c:pt>
                <c:pt idx="5">
                  <c:v>0.11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6BA-424A-AB39-BC561E7D3B8A}"/>
            </c:ext>
          </c:extLst>
        </c:ser>
        <c:ser>
          <c:idx val="5"/>
          <c:order val="5"/>
          <c:tx>
            <c:v>Corrida 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'ST, SV'!$N$29:$N$34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</c:numCache>
            </c:numRef>
          </c:xVal>
          <c:yVal>
            <c:numRef>
              <c:f>'ST, SV'!$F$42:$F$47</c:f>
              <c:numCache>
                <c:formatCode>General</c:formatCode>
                <c:ptCount val="6"/>
                <c:pt idx="0">
                  <c:v>0.38</c:v>
                </c:pt>
                <c:pt idx="1">
                  <c:v>0.27</c:v>
                </c:pt>
                <c:pt idx="2">
                  <c:v>0.24</c:v>
                </c:pt>
                <c:pt idx="3">
                  <c:v>0.2</c:v>
                </c:pt>
                <c:pt idx="4">
                  <c:v>0.18</c:v>
                </c:pt>
                <c:pt idx="5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6BA-424A-AB39-BC561E7D3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459488"/>
        <c:axId val="-2133453840"/>
      </c:scatterChart>
      <c:valAx>
        <c:axId val="-213345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Tiempo transcurrido (Días)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3453840"/>
        <c:crosses val="autoZero"/>
        <c:crossBetween val="midCat"/>
      </c:valAx>
      <c:valAx>
        <c:axId val="-213345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Sólidos volátiles del digestor con serpentín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33459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259487</xdr:colOff>
      <xdr:row>0</xdr:row>
      <xdr:rowOff>14268</xdr:rowOff>
    </xdr:from>
    <xdr:to>
      <xdr:col>24</xdr:col>
      <xdr:colOff>223426</xdr:colOff>
      <xdr:row>13</xdr:row>
      <xdr:rowOff>65068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296333</xdr:colOff>
      <xdr:row>0</xdr:row>
      <xdr:rowOff>148167</xdr:rowOff>
    </xdr:from>
    <xdr:to>
      <xdr:col>16</xdr:col>
      <xdr:colOff>745066</xdr:colOff>
      <xdr:row>13</xdr:row>
      <xdr:rowOff>198967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165100</xdr:colOff>
      <xdr:row>0</xdr:row>
      <xdr:rowOff>139700</xdr:rowOff>
    </xdr:from>
    <xdr:to>
      <xdr:col>10</xdr:col>
      <xdr:colOff>609600</xdr:colOff>
      <xdr:row>13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665497</xdr:colOff>
      <xdr:row>0</xdr:row>
      <xdr:rowOff>139700</xdr:rowOff>
    </xdr:from>
    <xdr:to>
      <xdr:col>16</xdr:col>
      <xdr:colOff>284497</xdr:colOff>
      <xdr:row>13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340394</xdr:colOff>
      <xdr:row>0</xdr:row>
      <xdr:rowOff>148340</xdr:rowOff>
    </xdr:from>
    <xdr:to>
      <xdr:col>21</xdr:col>
      <xdr:colOff>784894</xdr:colOff>
      <xdr:row>13</xdr:row>
      <xdr:rowOff>199140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270934</xdr:colOff>
      <xdr:row>1</xdr:row>
      <xdr:rowOff>114300</xdr:rowOff>
    </xdr:from>
    <xdr:to>
      <xdr:col>23</xdr:col>
      <xdr:colOff>8467</xdr:colOff>
      <xdr:row>14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101600</xdr:colOff>
      <xdr:row>1</xdr:row>
      <xdr:rowOff>139700</xdr:rowOff>
    </xdr:from>
    <xdr:to>
      <xdr:col>16</xdr:col>
      <xdr:colOff>546100</xdr:colOff>
      <xdr:row>14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682090</xdr:colOff>
      <xdr:row>1</xdr:row>
      <xdr:rowOff>62073</xdr:rowOff>
    </xdr:from>
    <xdr:to>
      <xdr:col>22</xdr:col>
      <xdr:colOff>298949</xdr:colOff>
      <xdr:row>14</xdr:row>
      <xdr:rowOff>109448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16</xdr:col>
      <xdr:colOff>444500</xdr:colOff>
      <xdr:row>14</xdr:row>
      <xdr:rowOff>50800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1</xdr:row>
      <xdr:rowOff>6350</xdr:rowOff>
    </xdr:from>
    <xdr:to>
      <xdr:col>16</xdr:col>
      <xdr:colOff>584200</xdr:colOff>
      <xdr:row>18</xdr:row>
      <xdr:rowOff>101600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16</xdr:col>
      <xdr:colOff>685800</xdr:colOff>
      <xdr:row>37</xdr:row>
      <xdr:rowOff>146050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7257</xdr:colOff>
      <xdr:row>0</xdr:row>
      <xdr:rowOff>38100</xdr:rowOff>
    </xdr:from>
    <xdr:to>
      <xdr:col>23</xdr:col>
      <xdr:colOff>451757</xdr:colOff>
      <xdr:row>13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499412</xdr:colOff>
      <xdr:row>0</xdr:row>
      <xdr:rowOff>45358</xdr:rowOff>
    </xdr:from>
    <xdr:to>
      <xdr:col>28</xdr:col>
      <xdr:colOff>822959</xdr:colOff>
      <xdr:row>13</xdr:row>
      <xdr:rowOff>108857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252899</xdr:colOff>
      <xdr:row>0</xdr:row>
      <xdr:rowOff>82359</xdr:rowOff>
    </xdr:from>
    <xdr:to>
      <xdr:col>34</xdr:col>
      <xdr:colOff>694007</xdr:colOff>
      <xdr:row>13</xdr:row>
      <xdr:rowOff>157223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412624</xdr:colOff>
      <xdr:row>14</xdr:row>
      <xdr:rowOff>50630</xdr:rowOff>
    </xdr:from>
    <xdr:to>
      <xdr:col>35</xdr:col>
      <xdr:colOff>33718</xdr:colOff>
      <xdr:row>27</xdr:row>
      <xdr:rowOff>126704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12251</xdr:colOff>
      <xdr:row>78</xdr:row>
      <xdr:rowOff>17574</xdr:rowOff>
    </xdr:from>
    <xdr:to>
      <xdr:col>16</xdr:col>
      <xdr:colOff>33716</xdr:colOff>
      <xdr:row>96</xdr:row>
      <xdr:rowOff>168585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507999</xdr:colOff>
      <xdr:row>19</xdr:row>
      <xdr:rowOff>88900</xdr:rowOff>
    </xdr:from>
    <xdr:to>
      <xdr:col>28</xdr:col>
      <xdr:colOff>11544</xdr:colOff>
      <xdr:row>32</xdr:row>
      <xdr:rowOff>130464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255836</xdr:colOff>
      <xdr:row>1</xdr:row>
      <xdr:rowOff>9140</xdr:rowOff>
    </xdr:from>
    <xdr:to>
      <xdr:col>17</xdr:col>
      <xdr:colOff>697033</xdr:colOff>
      <xdr:row>14</xdr:row>
      <xdr:rowOff>14499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367052</xdr:colOff>
      <xdr:row>1</xdr:row>
      <xdr:rowOff>7342</xdr:rowOff>
    </xdr:from>
    <xdr:to>
      <xdr:col>12</xdr:col>
      <xdr:colOff>249595</xdr:colOff>
      <xdr:row>14</xdr:row>
      <xdr:rowOff>22023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778934</xdr:colOff>
      <xdr:row>0</xdr:row>
      <xdr:rowOff>67734</xdr:rowOff>
    </xdr:from>
    <xdr:to>
      <xdr:col>20</xdr:col>
      <xdr:colOff>372534</xdr:colOff>
      <xdr:row>13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524933</xdr:colOff>
      <xdr:row>0</xdr:row>
      <xdr:rowOff>84667</xdr:rowOff>
    </xdr:from>
    <xdr:to>
      <xdr:col>26</xdr:col>
      <xdr:colOff>118533</xdr:colOff>
      <xdr:row>13</xdr:row>
      <xdr:rowOff>169334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755843</xdr:colOff>
      <xdr:row>13</xdr:row>
      <xdr:rowOff>169334</xdr:rowOff>
    </xdr:from>
    <xdr:to>
      <xdr:col>20</xdr:col>
      <xdr:colOff>349443</xdr:colOff>
      <xdr:row>27</xdr:row>
      <xdr:rowOff>45412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609601</xdr:colOff>
      <xdr:row>14</xdr:row>
      <xdr:rowOff>186268</xdr:rowOff>
    </xdr:from>
    <xdr:to>
      <xdr:col>26</xdr:col>
      <xdr:colOff>203201</xdr:colOff>
      <xdr:row>28</xdr:row>
      <xdr:rowOff>50801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728133</xdr:colOff>
      <xdr:row>28</xdr:row>
      <xdr:rowOff>118533</xdr:rowOff>
    </xdr:from>
    <xdr:to>
      <xdr:col>20</xdr:col>
      <xdr:colOff>321733</xdr:colOff>
      <xdr:row>42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491067</xdr:colOff>
      <xdr:row>28</xdr:row>
      <xdr:rowOff>152400</xdr:rowOff>
    </xdr:from>
    <xdr:to>
      <xdr:col>26</xdr:col>
      <xdr:colOff>84667</xdr:colOff>
      <xdr:row>42</xdr:row>
      <xdr:rowOff>33867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423334</xdr:colOff>
      <xdr:row>43</xdr:row>
      <xdr:rowOff>0</xdr:rowOff>
    </xdr:from>
    <xdr:to>
      <xdr:col>26</xdr:col>
      <xdr:colOff>16934</xdr:colOff>
      <xdr:row>56</xdr:row>
      <xdr:rowOff>101600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674255</xdr:colOff>
      <xdr:row>42</xdr:row>
      <xdr:rowOff>91594</xdr:rowOff>
    </xdr:from>
    <xdr:to>
      <xdr:col>20</xdr:col>
      <xdr:colOff>267855</xdr:colOff>
      <xdr:row>55</xdr:row>
      <xdr:rowOff>193193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Letty/Dropbox/Avances/Corrida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Letty/Dropbox/corr4g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gestor 1"/>
      <sheetName val="Digestor 2"/>
      <sheetName val="Alcalinidad D1"/>
      <sheetName val="Alcalinidad D2"/>
      <sheetName val="Coliformes D1"/>
      <sheetName val="Coliformes 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gestor 1"/>
      <sheetName val="Digestor 2"/>
      <sheetName val="Coliformes D1"/>
      <sheetName val="Coliformes 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77A74-41F8-F54D-8BFF-62CEA3AB5D85}">
  <dimension ref="A1:M12"/>
  <sheetViews>
    <sheetView workbookViewId="0">
      <selection activeCell="B12" sqref="B12"/>
    </sheetView>
  </sheetViews>
  <sheetFormatPr baseColWidth="10" defaultRowHeight="16" x14ac:dyDescent="0.2"/>
  <cols>
    <col min="1" max="1" width="38" customWidth="1"/>
  </cols>
  <sheetData>
    <row r="1" spans="1:13" ht="26" x14ac:dyDescent="0.3">
      <c r="A1" s="105" t="s">
        <v>62</v>
      </c>
      <c r="B1" s="106"/>
      <c r="C1" s="106"/>
      <c r="D1" s="106"/>
    </row>
    <row r="2" spans="1:13" ht="21" x14ac:dyDescent="0.25">
      <c r="A2" s="107" t="s">
        <v>63</v>
      </c>
      <c r="B2" s="106" t="s">
        <v>64</v>
      </c>
      <c r="C2" s="106"/>
      <c r="D2" s="106"/>
    </row>
    <row r="3" spans="1:13" ht="21" x14ac:dyDescent="0.25">
      <c r="A3" s="107" t="s">
        <v>65</v>
      </c>
      <c r="B3" s="106" t="s">
        <v>73</v>
      </c>
      <c r="C3" s="106"/>
      <c r="D3" s="106"/>
    </row>
    <row r="4" spans="1:13" ht="28" customHeight="1" x14ac:dyDescent="0.25">
      <c r="A4" s="108" t="s">
        <v>66</v>
      </c>
      <c r="B4" s="106" t="s">
        <v>72</v>
      </c>
      <c r="C4" s="106"/>
      <c r="D4" s="106"/>
    </row>
    <row r="5" spans="1:13" ht="21" x14ac:dyDescent="0.25">
      <c r="A5" s="107" t="s">
        <v>67</v>
      </c>
      <c r="B5" s="106" t="s">
        <v>74</v>
      </c>
    </row>
    <row r="6" spans="1:13" ht="21" x14ac:dyDescent="0.25">
      <c r="A6" s="107" t="s">
        <v>68</v>
      </c>
      <c r="B6" s="106" t="s">
        <v>75</v>
      </c>
    </row>
    <row r="11" spans="1:13" ht="21" x14ac:dyDescent="0.25">
      <c r="A11" s="109" t="s">
        <v>69</v>
      </c>
      <c r="B11" s="110" t="s">
        <v>76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13" ht="21" x14ac:dyDescent="0.25">
      <c r="A12" s="109" t="s">
        <v>70</v>
      </c>
      <c r="B12" s="110" t="s">
        <v>71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47"/>
  <sheetViews>
    <sheetView tabSelected="1" topLeftCell="A11" zoomScale="81" zoomScaleNormal="110" zoomScalePageLayoutView="110" workbookViewId="0">
      <selection activeCell="G12" sqref="G12"/>
    </sheetView>
  </sheetViews>
  <sheetFormatPr baseColWidth="10" defaultRowHeight="16" x14ac:dyDescent="0.2"/>
  <cols>
    <col min="6" max="6" width="18.83203125" customWidth="1"/>
    <col min="7" max="7" width="18" customWidth="1"/>
    <col min="8" max="8" width="11.33203125" bestFit="1" customWidth="1"/>
    <col min="15" max="15" width="15.1640625" customWidth="1"/>
    <col min="16" max="16" width="16" customWidth="1"/>
  </cols>
  <sheetData>
    <row r="3" spans="1:7" ht="17" thickBot="1" x14ac:dyDescent="0.25"/>
    <row r="4" spans="1:7" x14ac:dyDescent="0.2">
      <c r="A4" s="2"/>
      <c r="B4" s="73" t="s">
        <v>9</v>
      </c>
      <c r="C4" s="73"/>
      <c r="D4" s="73"/>
      <c r="E4" s="74"/>
    </row>
    <row r="5" spans="1:7" x14ac:dyDescent="0.2">
      <c r="A5" s="3"/>
      <c r="B5" s="4" t="s">
        <v>1</v>
      </c>
      <c r="C5" s="4" t="s">
        <v>2</v>
      </c>
      <c r="D5" s="4" t="s">
        <v>3</v>
      </c>
      <c r="E5" s="5" t="s">
        <v>4</v>
      </c>
      <c r="F5" s="104" t="s">
        <v>60</v>
      </c>
      <c r="G5" s="104" t="s">
        <v>39</v>
      </c>
    </row>
    <row r="6" spans="1:7" x14ac:dyDescent="0.2">
      <c r="A6" s="6" t="s">
        <v>5</v>
      </c>
      <c r="B6" s="19">
        <f>AVERAGE(B20:B44)</f>
        <v>6.7844999999999995</v>
      </c>
      <c r="C6" s="19">
        <f t="shared" ref="C6:E6" si="0">AVERAGE(C20:C44)</f>
        <v>6.8735999999999988</v>
      </c>
      <c r="D6" s="19">
        <f t="shared" si="0"/>
        <v>6.9968000000000004</v>
      </c>
      <c r="E6" s="19">
        <f t="shared" si="0"/>
        <v>6.9976000000000003</v>
      </c>
      <c r="F6" s="19">
        <f t="shared" ref="F6:G6" si="1">AVERAGE(F20:F44)</f>
        <v>6.9224000000000014</v>
      </c>
      <c r="G6" s="19">
        <f t="shared" si="1"/>
        <v>6.8040000000000012</v>
      </c>
    </row>
    <row r="7" spans="1:7" ht="17" thickBot="1" x14ac:dyDescent="0.25">
      <c r="A7" s="7" t="s">
        <v>6</v>
      </c>
      <c r="B7" s="20">
        <f>STDEV(B20:B44)</f>
        <v>0.1779259159845675</v>
      </c>
      <c r="C7" s="20">
        <f t="shared" ref="C7:E7" si="2">STDEV(C20:C44)</f>
        <v>4.4988887516807997E-2</v>
      </c>
      <c r="D7" s="20">
        <f t="shared" si="2"/>
        <v>6.0326887316795412E-2</v>
      </c>
      <c r="E7" s="20">
        <f t="shared" si="2"/>
        <v>7.2817122528518838E-2</v>
      </c>
      <c r="F7" s="20">
        <f t="shared" ref="F7:G7" si="3">STDEV(F20:F44)</f>
        <v>7.0786062658313414E-2</v>
      </c>
      <c r="G7" s="20">
        <f t="shared" si="3"/>
        <v>7.0651727980755502E-2</v>
      </c>
    </row>
    <row r="9" spans="1:7" ht="17" thickBot="1" x14ac:dyDescent="0.25"/>
    <row r="10" spans="1:7" x14ac:dyDescent="0.2">
      <c r="A10" s="2"/>
      <c r="B10" s="69" t="s">
        <v>10</v>
      </c>
      <c r="C10" s="69"/>
      <c r="D10" s="69"/>
      <c r="E10" s="70"/>
    </row>
    <row r="11" spans="1:7" x14ac:dyDescent="0.2">
      <c r="A11" s="3"/>
      <c r="B11" s="4" t="s">
        <v>1</v>
      </c>
      <c r="C11" s="4" t="s">
        <v>2</v>
      </c>
      <c r="D11" s="4" t="s">
        <v>3</v>
      </c>
      <c r="E11" s="5" t="s">
        <v>4</v>
      </c>
      <c r="F11" s="104" t="s">
        <v>60</v>
      </c>
      <c r="G11" s="104" t="s">
        <v>39</v>
      </c>
    </row>
    <row r="12" spans="1:7" x14ac:dyDescent="0.2">
      <c r="A12" s="6" t="s">
        <v>5</v>
      </c>
      <c r="B12" s="19">
        <f>AVERAGE(K20:K44)</f>
        <v>6.8849999999999998</v>
      </c>
      <c r="C12" s="19">
        <f t="shared" ref="C12:G12" si="4">AVERAGE(L20:L44)</f>
        <v>6.8496000000000006</v>
      </c>
      <c r="D12" s="19">
        <f t="shared" si="4"/>
        <v>7.030400000000002</v>
      </c>
      <c r="E12" s="19">
        <f t="shared" si="4"/>
        <v>6.937199999999998</v>
      </c>
      <c r="F12" s="19">
        <f t="shared" si="4"/>
        <v>6.9816000000000011</v>
      </c>
      <c r="G12" s="19">
        <f t="shared" si="4"/>
        <v>6.8764000000000012</v>
      </c>
    </row>
    <row r="13" spans="1:7" ht="17" thickBot="1" x14ac:dyDescent="0.25">
      <c r="A13" s="7" t="s">
        <v>6</v>
      </c>
      <c r="B13" s="20">
        <f>STDEV(K20:K44)</f>
        <v>0.13759207443515201</v>
      </c>
      <c r="C13" s="20">
        <f t="shared" ref="C13:G13" si="5">STDEV(L20:L44)</f>
        <v>9.5720078005261333E-2</v>
      </c>
      <c r="D13" s="20">
        <f t="shared" si="5"/>
        <v>4.7651512742689049E-2</v>
      </c>
      <c r="E13" s="20">
        <f t="shared" si="5"/>
        <v>9.5285535803359578E-2</v>
      </c>
      <c r="F13" s="20">
        <f t="shared" si="5"/>
        <v>0.10302426898551621</v>
      </c>
      <c r="G13" s="20">
        <f t="shared" si="5"/>
        <v>2.5800516790689742E-2</v>
      </c>
    </row>
    <row r="17" spans="1:16" x14ac:dyDescent="0.2">
      <c r="B17" s="100" t="s">
        <v>26</v>
      </c>
      <c r="C17" s="100"/>
      <c r="D17" s="100"/>
      <c r="E17" s="100"/>
      <c r="F17" s="58"/>
      <c r="G17" s="58"/>
      <c r="K17" s="100" t="s">
        <v>27</v>
      </c>
      <c r="L17" s="100"/>
      <c r="M17" s="100"/>
      <c r="N17" s="100"/>
      <c r="O17" s="58"/>
      <c r="P17" s="58"/>
    </row>
    <row r="18" spans="1:16" x14ac:dyDescent="0.2">
      <c r="B18" s="58" t="s">
        <v>23</v>
      </c>
      <c r="C18" s="58" t="s">
        <v>24</v>
      </c>
      <c r="D18" s="58" t="s">
        <v>18</v>
      </c>
      <c r="E18" s="58" t="s">
        <v>19</v>
      </c>
      <c r="F18" s="58" t="s">
        <v>30</v>
      </c>
      <c r="G18" s="58" t="s">
        <v>41</v>
      </c>
      <c r="K18" s="58" t="s">
        <v>23</v>
      </c>
      <c r="L18" s="58" t="s">
        <v>24</v>
      </c>
      <c r="M18" s="58" t="s">
        <v>18</v>
      </c>
      <c r="N18" s="58" t="s">
        <v>19</v>
      </c>
      <c r="O18" s="58" t="s">
        <v>29</v>
      </c>
      <c r="P18" s="58" t="s">
        <v>41</v>
      </c>
    </row>
    <row r="19" spans="1:16" x14ac:dyDescent="0.2">
      <c r="B19" s="58" t="s">
        <v>25</v>
      </c>
      <c r="C19" s="58" t="s">
        <v>25</v>
      </c>
      <c r="D19" s="58" t="s">
        <v>25</v>
      </c>
      <c r="E19" s="58" t="s">
        <v>25</v>
      </c>
      <c r="F19" s="58" t="s">
        <v>25</v>
      </c>
      <c r="G19" s="58"/>
      <c r="K19" s="58" t="s">
        <v>25</v>
      </c>
      <c r="L19" s="58" t="s">
        <v>25</v>
      </c>
      <c r="M19" s="58" t="s">
        <v>25</v>
      </c>
      <c r="N19" s="58" t="s">
        <v>25</v>
      </c>
      <c r="O19" s="58" t="s">
        <v>25</v>
      </c>
      <c r="P19" s="58"/>
    </row>
    <row r="20" spans="1:16" x14ac:dyDescent="0.2">
      <c r="A20">
        <v>1</v>
      </c>
      <c r="B20" s="25">
        <v>6.85</v>
      </c>
      <c r="C20" s="102">
        <v>6.93</v>
      </c>
      <c r="D20" s="99">
        <v>6.86</v>
      </c>
      <c r="E20" s="99">
        <v>7.11</v>
      </c>
      <c r="F20" s="38">
        <v>7.15</v>
      </c>
      <c r="G20" s="38">
        <v>6.94</v>
      </c>
      <c r="J20">
        <v>1</v>
      </c>
      <c r="K20" s="25">
        <v>7.04</v>
      </c>
      <c r="L20" s="27">
        <v>7.05</v>
      </c>
      <c r="M20" s="99">
        <v>6.98</v>
      </c>
      <c r="N20" s="99">
        <v>6.75</v>
      </c>
      <c r="O20" s="101">
        <v>7.15</v>
      </c>
      <c r="P20" s="38">
        <v>6.96</v>
      </c>
    </row>
    <row r="21" spans="1:16" x14ac:dyDescent="0.2">
      <c r="A21">
        <v>2</v>
      </c>
      <c r="B21" s="25">
        <v>6.77</v>
      </c>
      <c r="C21" s="102">
        <v>6.86</v>
      </c>
      <c r="D21" s="25">
        <v>6.96</v>
      </c>
      <c r="E21" s="25">
        <v>6.97</v>
      </c>
      <c r="F21" s="38">
        <v>7.03</v>
      </c>
      <c r="G21" s="38">
        <v>6.92</v>
      </c>
      <c r="J21">
        <v>2</v>
      </c>
      <c r="K21" s="25">
        <v>7.02</v>
      </c>
      <c r="L21" s="27">
        <v>7.02</v>
      </c>
      <c r="M21" s="25">
        <v>7.06</v>
      </c>
      <c r="N21" s="25">
        <v>6.9</v>
      </c>
      <c r="O21" s="40">
        <v>6.98</v>
      </c>
      <c r="P21" s="38">
        <v>6.93</v>
      </c>
    </row>
    <row r="22" spans="1:16" x14ac:dyDescent="0.2">
      <c r="A22">
        <v>3</v>
      </c>
      <c r="B22" s="25">
        <v>6.72</v>
      </c>
      <c r="C22" s="102">
        <v>6.85</v>
      </c>
      <c r="D22" s="25">
        <v>6.94</v>
      </c>
      <c r="E22" s="25">
        <v>6.98</v>
      </c>
      <c r="F22" s="38">
        <v>6.89</v>
      </c>
      <c r="G22" s="38">
        <v>6.9</v>
      </c>
      <c r="J22">
        <v>3</v>
      </c>
      <c r="K22" s="25">
        <v>7.2</v>
      </c>
      <c r="L22" s="27">
        <v>6.69</v>
      </c>
      <c r="M22" s="25">
        <v>6.93</v>
      </c>
      <c r="N22" s="25">
        <v>7.01</v>
      </c>
      <c r="O22" s="38">
        <v>6.97</v>
      </c>
      <c r="P22" s="38">
        <v>6.89</v>
      </c>
    </row>
    <row r="23" spans="1:16" x14ac:dyDescent="0.2">
      <c r="A23">
        <v>4</v>
      </c>
      <c r="B23" s="25">
        <v>6.78</v>
      </c>
      <c r="C23" s="102">
        <v>6.75</v>
      </c>
      <c r="D23" s="25">
        <v>6.92</v>
      </c>
      <c r="E23" s="25">
        <v>7.05</v>
      </c>
      <c r="F23" s="38">
        <v>6.89</v>
      </c>
      <c r="G23" s="38">
        <v>6.92</v>
      </c>
      <c r="J23">
        <v>4</v>
      </c>
      <c r="K23" s="25">
        <v>7.12</v>
      </c>
      <c r="L23" s="27">
        <v>6.63</v>
      </c>
      <c r="M23" s="25">
        <v>6.99</v>
      </c>
      <c r="N23" s="25">
        <v>6.61</v>
      </c>
      <c r="O23" s="38">
        <v>6.97</v>
      </c>
      <c r="P23" s="38">
        <v>6.84</v>
      </c>
    </row>
    <row r="24" spans="1:16" x14ac:dyDescent="0.2">
      <c r="A24">
        <v>5</v>
      </c>
      <c r="B24" s="25">
        <v>6.81</v>
      </c>
      <c r="C24" s="102">
        <v>6.85</v>
      </c>
      <c r="D24" s="25">
        <v>6.92</v>
      </c>
      <c r="E24" s="25">
        <v>6.86</v>
      </c>
      <c r="F24" s="38">
        <v>6.9</v>
      </c>
      <c r="G24" s="38">
        <v>6.89</v>
      </c>
      <c r="J24">
        <v>5</v>
      </c>
      <c r="K24" s="25">
        <v>7.02</v>
      </c>
      <c r="L24" s="27">
        <v>6.63</v>
      </c>
      <c r="M24" s="25">
        <v>6.99</v>
      </c>
      <c r="N24" s="25">
        <v>6.85</v>
      </c>
      <c r="O24" s="38">
        <v>7.34</v>
      </c>
      <c r="P24" s="38">
        <v>6.87</v>
      </c>
    </row>
    <row r="25" spans="1:16" x14ac:dyDescent="0.2">
      <c r="A25">
        <v>6</v>
      </c>
      <c r="B25" s="25">
        <v>6.58</v>
      </c>
      <c r="C25" s="102">
        <v>6.79</v>
      </c>
      <c r="D25" s="25">
        <v>6.99</v>
      </c>
      <c r="E25" s="25">
        <v>6.89</v>
      </c>
      <c r="F25" s="38">
        <v>6.94</v>
      </c>
      <c r="G25" s="38">
        <v>6.87</v>
      </c>
      <c r="J25">
        <v>6</v>
      </c>
      <c r="K25" s="25">
        <v>6.87</v>
      </c>
      <c r="L25" s="27">
        <v>6.78</v>
      </c>
      <c r="M25" s="25">
        <v>6.99</v>
      </c>
      <c r="N25" s="25">
        <v>6.98</v>
      </c>
      <c r="O25" s="38">
        <v>6.97</v>
      </c>
      <c r="P25" s="38">
        <v>6.85</v>
      </c>
    </row>
    <row r="26" spans="1:16" x14ac:dyDescent="0.2">
      <c r="A26">
        <v>7</v>
      </c>
      <c r="B26" s="25">
        <v>6.69</v>
      </c>
      <c r="C26" s="102">
        <v>6.85</v>
      </c>
      <c r="D26" s="25">
        <v>6.99</v>
      </c>
      <c r="E26" s="25">
        <v>7.02</v>
      </c>
      <c r="F26" s="38">
        <v>6.99</v>
      </c>
      <c r="G26" s="38">
        <v>6.87</v>
      </c>
      <c r="J26">
        <v>7</v>
      </c>
      <c r="K26" s="25">
        <v>6.89</v>
      </c>
      <c r="L26" s="27">
        <v>6.82</v>
      </c>
      <c r="M26" s="25">
        <v>7.08</v>
      </c>
      <c r="N26" s="25">
        <v>6.95</v>
      </c>
      <c r="O26" s="38">
        <v>6.96</v>
      </c>
      <c r="P26" s="38">
        <v>6.89</v>
      </c>
    </row>
    <row r="27" spans="1:16" x14ac:dyDescent="0.2">
      <c r="A27">
        <v>8</v>
      </c>
      <c r="B27" s="25">
        <v>6.51</v>
      </c>
      <c r="C27" s="102">
        <v>6.87</v>
      </c>
      <c r="D27" s="25">
        <v>6.92</v>
      </c>
      <c r="E27" s="25">
        <v>6.92</v>
      </c>
      <c r="F27" s="38">
        <v>6.86</v>
      </c>
      <c r="G27" s="38">
        <v>6.85</v>
      </c>
      <c r="J27">
        <v>8</v>
      </c>
      <c r="K27" s="25">
        <v>6.81</v>
      </c>
      <c r="L27" s="27">
        <v>6.85</v>
      </c>
      <c r="M27" s="25">
        <v>7.13</v>
      </c>
      <c r="N27" s="25">
        <v>6.87</v>
      </c>
      <c r="O27" s="38">
        <v>6.95</v>
      </c>
      <c r="P27" s="38">
        <v>6.87</v>
      </c>
    </row>
    <row r="28" spans="1:16" x14ac:dyDescent="0.2">
      <c r="A28">
        <v>9</v>
      </c>
      <c r="B28" s="25">
        <v>6.43</v>
      </c>
      <c r="C28" s="102">
        <v>6.82</v>
      </c>
      <c r="D28" s="25">
        <v>7.07</v>
      </c>
      <c r="E28" s="25">
        <v>6.99</v>
      </c>
      <c r="F28" s="38">
        <v>6.84</v>
      </c>
      <c r="G28" s="38">
        <v>6.83</v>
      </c>
      <c r="J28">
        <v>9</v>
      </c>
      <c r="K28" s="25">
        <v>6.74</v>
      </c>
      <c r="L28" s="31">
        <v>6.89</v>
      </c>
      <c r="M28" s="25">
        <v>7.03</v>
      </c>
      <c r="N28" s="25">
        <v>7.01</v>
      </c>
      <c r="O28" s="38">
        <v>6.98</v>
      </c>
      <c r="P28" s="38">
        <v>6.88</v>
      </c>
    </row>
    <row r="29" spans="1:16" x14ac:dyDescent="0.2">
      <c r="A29">
        <v>10</v>
      </c>
      <c r="B29" s="25">
        <v>6.41</v>
      </c>
      <c r="C29" s="102">
        <v>6.98</v>
      </c>
      <c r="D29" s="25">
        <v>7.06</v>
      </c>
      <c r="E29" s="25">
        <v>7.01</v>
      </c>
      <c r="F29" s="38">
        <v>6.9</v>
      </c>
      <c r="G29" s="38">
        <v>6.8</v>
      </c>
      <c r="J29">
        <v>10</v>
      </c>
      <c r="K29" s="25">
        <v>6.69</v>
      </c>
      <c r="L29" s="27">
        <v>6.91</v>
      </c>
      <c r="M29" s="25">
        <v>7.06</v>
      </c>
      <c r="N29" s="25">
        <v>6.92</v>
      </c>
      <c r="O29" s="38">
        <v>7.05</v>
      </c>
      <c r="P29" s="38">
        <v>6.89</v>
      </c>
    </row>
    <row r="30" spans="1:16" x14ac:dyDescent="0.2">
      <c r="A30">
        <v>11</v>
      </c>
      <c r="B30" s="25">
        <v>6.89</v>
      </c>
      <c r="C30" s="102">
        <v>6.86</v>
      </c>
      <c r="D30" s="25">
        <v>7.06</v>
      </c>
      <c r="E30" s="25">
        <v>6.97</v>
      </c>
      <c r="F30" s="38">
        <v>6.9</v>
      </c>
      <c r="G30" s="38">
        <v>6.75</v>
      </c>
      <c r="J30">
        <v>11</v>
      </c>
      <c r="K30" s="25">
        <v>6.63</v>
      </c>
      <c r="L30" s="27">
        <v>6.93</v>
      </c>
      <c r="M30" s="25">
        <v>7.06</v>
      </c>
      <c r="N30" s="25">
        <v>6.97</v>
      </c>
      <c r="O30" s="38">
        <v>7.05</v>
      </c>
      <c r="P30" s="38">
        <v>6.85</v>
      </c>
    </row>
    <row r="31" spans="1:16" x14ac:dyDescent="0.2">
      <c r="A31">
        <v>12</v>
      </c>
      <c r="B31" s="25">
        <v>6.87</v>
      </c>
      <c r="C31" s="102">
        <v>6.89</v>
      </c>
      <c r="D31" s="25">
        <v>7.04</v>
      </c>
      <c r="E31" s="25">
        <v>6.99</v>
      </c>
      <c r="F31" s="38">
        <v>6.86</v>
      </c>
      <c r="G31" s="38">
        <v>6.7</v>
      </c>
      <c r="J31">
        <v>12</v>
      </c>
      <c r="K31" s="25">
        <v>6.85</v>
      </c>
      <c r="L31" s="27">
        <v>6.87</v>
      </c>
      <c r="M31" s="1">
        <v>7.02</v>
      </c>
      <c r="N31" s="25">
        <v>7.03</v>
      </c>
      <c r="O31" s="38">
        <v>6.79</v>
      </c>
      <c r="P31" s="38">
        <v>6.86</v>
      </c>
    </row>
    <row r="32" spans="1:16" x14ac:dyDescent="0.2">
      <c r="A32">
        <v>13</v>
      </c>
      <c r="B32" s="25">
        <v>6.85</v>
      </c>
      <c r="C32" s="102">
        <v>6.85</v>
      </c>
      <c r="D32" s="25">
        <v>7.03</v>
      </c>
      <c r="E32" s="25">
        <v>7.02</v>
      </c>
      <c r="F32" s="38">
        <v>6.9</v>
      </c>
      <c r="G32" s="38">
        <v>6.78</v>
      </c>
      <c r="J32">
        <v>13</v>
      </c>
      <c r="K32" s="25">
        <v>6.82</v>
      </c>
      <c r="L32" s="27">
        <v>6.85</v>
      </c>
      <c r="M32" s="25">
        <v>7.04</v>
      </c>
      <c r="N32" s="25">
        <v>6.95</v>
      </c>
      <c r="O32" s="38">
        <v>6.91</v>
      </c>
      <c r="P32" s="38">
        <v>6.88</v>
      </c>
    </row>
    <row r="33" spans="1:18" x14ac:dyDescent="0.2">
      <c r="A33">
        <v>14</v>
      </c>
      <c r="B33" s="25">
        <v>6.85</v>
      </c>
      <c r="C33" s="102">
        <v>6.87</v>
      </c>
      <c r="D33" s="25">
        <v>7.03</v>
      </c>
      <c r="E33" s="25">
        <v>6.91</v>
      </c>
      <c r="F33" s="38">
        <v>6.9</v>
      </c>
      <c r="G33" s="38">
        <v>6.76</v>
      </c>
      <c r="J33">
        <v>14</v>
      </c>
      <c r="K33" s="25">
        <v>6.83</v>
      </c>
      <c r="L33" s="27">
        <v>6.82</v>
      </c>
      <c r="M33" s="25">
        <v>7.04</v>
      </c>
      <c r="N33" s="25">
        <v>6.93</v>
      </c>
      <c r="O33" s="38">
        <v>7.01</v>
      </c>
      <c r="P33" s="38">
        <v>6.87</v>
      </c>
    </row>
    <row r="34" spans="1:18" x14ac:dyDescent="0.2">
      <c r="A34">
        <v>15</v>
      </c>
      <c r="B34" s="25">
        <v>6.87</v>
      </c>
      <c r="C34" s="102">
        <v>6.89</v>
      </c>
      <c r="D34" s="25">
        <v>7.07</v>
      </c>
      <c r="E34" s="25">
        <v>7.02</v>
      </c>
      <c r="F34" s="38">
        <v>6.89</v>
      </c>
      <c r="G34" s="38">
        <v>6.78</v>
      </c>
      <c r="J34">
        <v>15</v>
      </c>
      <c r="K34" s="25">
        <v>6.83</v>
      </c>
      <c r="L34" s="27">
        <v>6.82</v>
      </c>
      <c r="M34" s="1">
        <v>7.01</v>
      </c>
      <c r="N34" s="25">
        <v>6.91</v>
      </c>
      <c r="O34" s="38">
        <v>6.9</v>
      </c>
      <c r="P34" s="38">
        <v>6.89</v>
      </c>
    </row>
    <row r="35" spans="1:18" x14ac:dyDescent="0.2">
      <c r="A35">
        <v>16</v>
      </c>
      <c r="B35" s="25">
        <v>6.89</v>
      </c>
      <c r="C35" s="102">
        <v>6.89</v>
      </c>
      <c r="D35" s="25">
        <v>7.04</v>
      </c>
      <c r="E35" s="25">
        <v>7.05</v>
      </c>
      <c r="F35" s="38">
        <v>6.85</v>
      </c>
      <c r="G35" s="38">
        <v>6.75</v>
      </c>
      <c r="J35">
        <v>16</v>
      </c>
      <c r="K35" s="32">
        <v>6.9</v>
      </c>
      <c r="L35" s="31">
        <v>6.89</v>
      </c>
      <c r="M35" s="1">
        <v>7.05</v>
      </c>
      <c r="N35" s="25">
        <v>6.9</v>
      </c>
      <c r="O35" s="38">
        <v>6.98</v>
      </c>
      <c r="P35" s="38">
        <v>6.86</v>
      </c>
    </row>
    <row r="36" spans="1:18" x14ac:dyDescent="0.2">
      <c r="A36">
        <v>17</v>
      </c>
      <c r="B36" s="25">
        <v>7.01</v>
      </c>
      <c r="C36" s="102">
        <v>6.87</v>
      </c>
      <c r="D36" s="25">
        <v>7.04</v>
      </c>
      <c r="E36" s="25">
        <v>6.9</v>
      </c>
      <c r="F36" s="38">
        <v>6.9</v>
      </c>
      <c r="G36" s="38">
        <v>6.76</v>
      </c>
      <c r="J36">
        <v>17</v>
      </c>
      <c r="K36" s="25">
        <v>6.87</v>
      </c>
      <c r="L36" s="27">
        <v>6.91</v>
      </c>
      <c r="M36" s="1">
        <v>7.05</v>
      </c>
      <c r="N36" s="25">
        <v>7.01</v>
      </c>
      <c r="O36" s="38">
        <v>6.99</v>
      </c>
      <c r="P36" s="38">
        <v>6.89</v>
      </c>
    </row>
    <row r="37" spans="1:18" x14ac:dyDescent="0.2">
      <c r="A37">
        <v>18</v>
      </c>
      <c r="B37" s="25">
        <v>6.98</v>
      </c>
      <c r="C37" s="102">
        <v>6.91</v>
      </c>
      <c r="D37" s="25">
        <v>7.05</v>
      </c>
      <c r="E37" s="25">
        <v>7.02</v>
      </c>
      <c r="F37" s="38">
        <v>6.9</v>
      </c>
      <c r="G37" s="38">
        <v>6.79</v>
      </c>
      <c r="J37">
        <v>18</v>
      </c>
      <c r="K37" s="25">
        <v>6.86</v>
      </c>
      <c r="L37" s="27">
        <v>6.87</v>
      </c>
      <c r="M37" s="1">
        <v>7.01</v>
      </c>
      <c r="N37" s="25">
        <v>7.01</v>
      </c>
      <c r="O37" s="38">
        <v>6.99</v>
      </c>
      <c r="P37" s="38">
        <v>6.86</v>
      </c>
    </row>
    <row r="38" spans="1:18" x14ac:dyDescent="0.2">
      <c r="A38">
        <v>19</v>
      </c>
      <c r="B38" s="25">
        <v>6.95</v>
      </c>
      <c r="C38" s="102">
        <v>6.89</v>
      </c>
      <c r="D38" s="25">
        <v>7.03</v>
      </c>
      <c r="E38" s="102">
        <v>6.98</v>
      </c>
      <c r="F38" s="38">
        <v>7.01</v>
      </c>
      <c r="G38" s="38">
        <v>6.74</v>
      </c>
      <c r="J38">
        <v>19</v>
      </c>
      <c r="K38" s="25">
        <v>6.87</v>
      </c>
      <c r="L38" s="27">
        <v>6.89</v>
      </c>
      <c r="M38" s="1">
        <v>6.98</v>
      </c>
      <c r="N38" s="27">
        <v>6.98</v>
      </c>
      <c r="O38" s="38">
        <v>6.89</v>
      </c>
      <c r="P38" s="38">
        <v>6.89</v>
      </c>
    </row>
    <row r="39" spans="1:18" ht="17" thickBot="1" x14ac:dyDescent="0.25">
      <c r="A39">
        <v>20</v>
      </c>
      <c r="B39" s="26">
        <v>6.98</v>
      </c>
      <c r="C39" s="102">
        <v>6.91</v>
      </c>
      <c r="D39" s="25">
        <v>7.03</v>
      </c>
      <c r="E39" s="102">
        <v>7.01</v>
      </c>
      <c r="F39" s="38">
        <v>6.97</v>
      </c>
      <c r="G39" s="38">
        <v>6.72</v>
      </c>
      <c r="J39">
        <v>20</v>
      </c>
      <c r="K39" s="26">
        <v>6.84</v>
      </c>
      <c r="L39" s="27">
        <v>6.87</v>
      </c>
      <c r="M39" s="1">
        <v>6.98</v>
      </c>
      <c r="N39" s="27">
        <v>6.97</v>
      </c>
      <c r="O39" s="38">
        <v>6.99</v>
      </c>
      <c r="P39" s="38">
        <v>6.87</v>
      </c>
    </row>
    <row r="40" spans="1:18" x14ac:dyDescent="0.2">
      <c r="A40">
        <v>21</v>
      </c>
      <c r="B40" s="102"/>
      <c r="C40" s="102">
        <v>6.89</v>
      </c>
      <c r="D40" s="25">
        <v>6.92</v>
      </c>
      <c r="E40" s="102">
        <v>6.97</v>
      </c>
      <c r="F40" s="38">
        <v>6.89</v>
      </c>
      <c r="G40" s="38">
        <v>6.74</v>
      </c>
      <c r="J40">
        <v>21</v>
      </c>
      <c r="K40" s="27"/>
      <c r="L40" s="27">
        <v>6.87</v>
      </c>
      <c r="M40" s="25">
        <v>6.99</v>
      </c>
      <c r="N40" s="27">
        <v>6.89</v>
      </c>
      <c r="O40" s="38">
        <v>7.02</v>
      </c>
      <c r="P40" s="38">
        <v>6.85</v>
      </c>
    </row>
    <row r="41" spans="1:18" x14ac:dyDescent="0.2">
      <c r="A41">
        <v>22</v>
      </c>
      <c r="B41" s="102"/>
      <c r="C41" s="102">
        <v>6.91</v>
      </c>
      <c r="D41" s="25">
        <v>6.99</v>
      </c>
      <c r="E41" s="102">
        <v>7.09</v>
      </c>
      <c r="F41" s="38">
        <v>6.86</v>
      </c>
      <c r="G41" s="38">
        <v>6.76</v>
      </c>
      <c r="J41">
        <v>22</v>
      </c>
      <c r="K41" s="27"/>
      <c r="L41" s="27">
        <v>6.85</v>
      </c>
      <c r="M41" s="25">
        <v>7.08</v>
      </c>
      <c r="N41" s="27">
        <v>7.01</v>
      </c>
      <c r="O41" s="38">
        <v>6.86</v>
      </c>
      <c r="P41" s="38">
        <v>6.86</v>
      </c>
    </row>
    <row r="42" spans="1:18" x14ac:dyDescent="0.2">
      <c r="A42">
        <v>23</v>
      </c>
      <c r="B42" s="102"/>
      <c r="C42" s="102">
        <v>6.87</v>
      </c>
      <c r="D42" s="25">
        <v>6.99</v>
      </c>
      <c r="E42" s="102">
        <v>7.2</v>
      </c>
      <c r="F42" s="38">
        <v>6.98</v>
      </c>
      <c r="G42" s="38">
        <v>6.75</v>
      </c>
      <c r="J42">
        <v>23</v>
      </c>
      <c r="K42" s="27"/>
      <c r="L42" s="27">
        <v>6.86</v>
      </c>
      <c r="M42" s="25">
        <v>7.13</v>
      </c>
      <c r="N42" s="27">
        <v>7.04</v>
      </c>
      <c r="O42" s="38">
        <v>6.87</v>
      </c>
      <c r="P42" s="38">
        <v>6.86</v>
      </c>
    </row>
    <row r="43" spans="1:18" x14ac:dyDescent="0.2">
      <c r="A43">
        <v>24</v>
      </c>
      <c r="B43" s="102"/>
      <c r="C43" s="102">
        <v>6.9</v>
      </c>
      <c r="D43" s="25">
        <v>6.92</v>
      </c>
      <c r="E43" s="102">
        <v>6.99</v>
      </c>
      <c r="F43" s="38">
        <v>6.87</v>
      </c>
      <c r="G43" s="38">
        <v>6.74</v>
      </c>
      <c r="J43">
        <v>24</v>
      </c>
      <c r="K43" s="27"/>
      <c r="L43" s="27">
        <v>6.85</v>
      </c>
      <c r="M43" s="25">
        <v>7.06</v>
      </c>
      <c r="N43" s="27">
        <v>7</v>
      </c>
      <c r="O43" s="38">
        <v>6.98</v>
      </c>
      <c r="P43" s="38">
        <v>6.88</v>
      </c>
    </row>
    <row r="44" spans="1:18" ht="17" thickBot="1" x14ac:dyDescent="0.25">
      <c r="A44">
        <v>25</v>
      </c>
      <c r="B44" s="103"/>
      <c r="C44" s="103">
        <v>6.89</v>
      </c>
      <c r="D44" s="25">
        <v>7.05</v>
      </c>
      <c r="E44" s="103">
        <v>7.02</v>
      </c>
      <c r="F44" s="38">
        <v>6.99</v>
      </c>
      <c r="G44" s="38">
        <v>6.79</v>
      </c>
      <c r="J44">
        <v>25</v>
      </c>
      <c r="K44" s="28"/>
      <c r="L44" s="27">
        <v>6.82</v>
      </c>
      <c r="M44" s="1">
        <v>7.02</v>
      </c>
      <c r="N44" s="28">
        <v>6.98</v>
      </c>
      <c r="O44" s="38">
        <v>6.99</v>
      </c>
      <c r="P44" s="38">
        <v>6.87</v>
      </c>
    </row>
    <row r="45" spans="1:18" x14ac:dyDescent="0.2">
      <c r="L45" s="27"/>
      <c r="M45" s="25"/>
    </row>
    <row r="46" spans="1:18" x14ac:dyDescent="0.2">
      <c r="B46">
        <f>AVERAGE(B20:B39)</f>
        <v>6.7844999999999995</v>
      </c>
      <c r="C46">
        <f>AVERAGE(C20:C44)</f>
        <v>6.8735999999999988</v>
      </c>
      <c r="D46">
        <f>AVERAGE(D20:D44)</f>
        <v>6.9968000000000004</v>
      </c>
      <c r="E46">
        <f>AVERAGE(E20:E44)</f>
        <v>6.9976000000000003</v>
      </c>
      <c r="F46">
        <f>AVERAGE(F20:F44)</f>
        <v>6.9224000000000014</v>
      </c>
      <c r="G46">
        <f>AVERAGE(G20:G44)</f>
        <v>6.8040000000000012</v>
      </c>
      <c r="H46">
        <f>AVERAGE(B46:E46)</f>
        <v>6.9131249999999991</v>
      </c>
      <c r="I46">
        <f>AVERAGE(F46:G46)</f>
        <v>6.8632000000000009</v>
      </c>
      <c r="K46">
        <f>AVERAGE(K20:K39)</f>
        <v>6.8849999999999998</v>
      </c>
      <c r="L46">
        <f>AVERAGE(L20:L44)</f>
        <v>6.8496000000000006</v>
      </c>
      <c r="M46">
        <f>AVERAGE(M20:M44)</f>
        <v>7.030400000000002</v>
      </c>
      <c r="N46">
        <f>AVERAGE(N20:N44)</f>
        <v>6.937199999999998</v>
      </c>
      <c r="O46">
        <f>AVERAGE(O20:O44)</f>
        <v>6.9816000000000011</v>
      </c>
      <c r="P46">
        <f>AVERAGE(P20:P44)</f>
        <v>6.8764000000000012</v>
      </c>
      <c r="Q46">
        <f>AVERAGE(K46:N46)</f>
        <v>6.9255499999999994</v>
      </c>
      <c r="R46">
        <f>AVERAGE(O46:P46)</f>
        <v>6.9290000000000012</v>
      </c>
    </row>
    <row r="47" spans="1:18" x14ac:dyDescent="0.2">
      <c r="B47">
        <f>STDEV(B20:B39)</f>
        <v>0.1779259159845675</v>
      </c>
      <c r="C47">
        <f>STDEV(C20:C44)</f>
        <v>4.4988887516807997E-2</v>
      </c>
      <c r="D47">
        <f>STDEV(D20:D44)</f>
        <v>6.0326887316795412E-2</v>
      </c>
      <c r="E47">
        <f>STDEV(E20:E44)</f>
        <v>7.2817122528518838E-2</v>
      </c>
      <c r="F47">
        <f>STDEV(F20:F44)</f>
        <v>7.0786062658313414E-2</v>
      </c>
      <c r="G47">
        <f>STDEV(G20:G44)</f>
        <v>7.0651727980755502E-2</v>
      </c>
      <c r="H47">
        <f>AVERAGE(B47:E47)</f>
        <v>8.9014703336672441E-2</v>
      </c>
      <c r="I47">
        <f>AVERAGE(G47:H47)</f>
        <v>7.9833215658713971E-2</v>
      </c>
      <c r="K47">
        <f>STDEV(K20:K39)</f>
        <v>0.13759207443515201</v>
      </c>
      <c r="L47">
        <f>STDEV(L20:L44)</f>
        <v>9.5720078005261333E-2</v>
      </c>
      <c r="M47">
        <f>STDEV(M20:M44)</f>
        <v>4.7651512742689049E-2</v>
      </c>
      <c r="N47">
        <f>STDEV(N20:N44)</f>
        <v>9.5285535803359578E-2</v>
      </c>
      <c r="O47">
        <f>STDEV(O20:O44)</f>
        <v>0.10302426898551621</v>
      </c>
      <c r="P47">
        <f>STDEV(P20:P44)</f>
        <v>2.5800516790689742E-2</v>
      </c>
      <c r="Q47">
        <f>AVERAGE(K47:N47)</f>
        <v>9.4062300246615493E-2</v>
      </c>
      <c r="R47">
        <f>AVERAGE(P47:Q47)</f>
        <v>5.9931408518652619E-2</v>
      </c>
    </row>
  </sheetData>
  <mergeCells count="4">
    <mergeCell ref="B4:E4"/>
    <mergeCell ref="B10:E10"/>
    <mergeCell ref="B17:E17"/>
    <mergeCell ref="K17:N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4"/>
  <sheetViews>
    <sheetView zoomScale="85" zoomScaleNormal="90" zoomScalePageLayoutView="90" workbookViewId="0">
      <selection activeCell="I17" sqref="I17"/>
    </sheetView>
  </sheetViews>
  <sheetFormatPr baseColWidth="10" defaultRowHeight="16" x14ac:dyDescent="0.2"/>
  <cols>
    <col min="5" max="5" width="12.1640625" bestFit="1" customWidth="1"/>
  </cols>
  <sheetData>
    <row r="1" spans="1:5" x14ac:dyDescent="0.2">
      <c r="A1" s="2"/>
      <c r="B1" s="71" t="s">
        <v>0</v>
      </c>
      <c r="C1" s="71"/>
      <c r="D1" s="71"/>
      <c r="E1" s="72"/>
    </row>
    <row r="2" spans="1:5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6" t="s">
        <v>5</v>
      </c>
      <c r="B3" s="19">
        <f>AVERAGE(B20:B39)</f>
        <v>22.4</v>
      </c>
      <c r="C3">
        <f>AVERAGE(G20:G44)</f>
        <v>29.08</v>
      </c>
      <c r="D3">
        <f>AVERAGE(L20:L44)</f>
        <v>21.6</v>
      </c>
      <c r="E3" s="10">
        <f>AVERAGE(Q20:Q44)</f>
        <v>8.24</v>
      </c>
    </row>
    <row r="4" spans="1:5" ht="17" thickBot="1" x14ac:dyDescent="0.25">
      <c r="A4" s="7" t="s">
        <v>6</v>
      </c>
      <c r="B4" s="20">
        <f>STDEV(B20:B39)</f>
        <v>3.8851945694012837</v>
      </c>
      <c r="C4" s="20">
        <f>STDEV(G20:G44)</f>
        <v>1.2220201853215571</v>
      </c>
      <c r="D4" s="20">
        <f>STDEV(L20:L44)</f>
        <v>1.4999999999999998</v>
      </c>
      <c r="E4" s="18">
        <f>STDEV(Q20:Q44)</f>
        <v>1.1284207253207161</v>
      </c>
    </row>
    <row r="6" spans="1:5" ht="17" thickBot="1" x14ac:dyDescent="0.25"/>
    <row r="7" spans="1:5" x14ac:dyDescent="0.2">
      <c r="A7" s="2"/>
      <c r="B7" s="73" t="s">
        <v>7</v>
      </c>
      <c r="C7" s="73"/>
      <c r="D7" s="73"/>
      <c r="E7" s="74"/>
    </row>
    <row r="8" spans="1:5" x14ac:dyDescent="0.2">
      <c r="A8" s="3"/>
      <c r="B8" s="4" t="s">
        <v>1</v>
      </c>
      <c r="C8" s="4" t="s">
        <v>2</v>
      </c>
      <c r="D8" s="4" t="s">
        <v>3</v>
      </c>
      <c r="E8" s="5" t="s">
        <v>4</v>
      </c>
    </row>
    <row r="9" spans="1:5" x14ac:dyDescent="0.2">
      <c r="A9" s="6" t="s">
        <v>5</v>
      </c>
      <c r="B9">
        <f>AVERAGE(C20:C39)</f>
        <v>21.22</v>
      </c>
      <c r="C9" s="19">
        <f>AVERAGE(H20:H44)</f>
        <v>27.584000000000007</v>
      </c>
      <c r="D9">
        <f>AVERAGE(M20:M44)</f>
        <v>25</v>
      </c>
      <c r="E9" s="10">
        <f>AVERAGE(R20:R44)</f>
        <v>17.96</v>
      </c>
    </row>
    <row r="10" spans="1:5" ht="17" thickBot="1" x14ac:dyDescent="0.25">
      <c r="A10" s="7" t="s">
        <v>6</v>
      </c>
      <c r="B10" s="20">
        <f>STDEV(C20:C39)</f>
        <v>2.6347076138589474</v>
      </c>
      <c r="C10" s="20">
        <f>STDEV(H20:H44)</f>
        <v>1.174975177042761</v>
      </c>
      <c r="D10" s="20">
        <f>STDEV(M20:M44)</f>
        <v>0.6454972243679028</v>
      </c>
      <c r="E10" s="11">
        <f>STDEV(R20:R44)</f>
        <v>0.84063468086123272</v>
      </c>
    </row>
    <row r="12" spans="1:5" ht="17" thickBot="1" x14ac:dyDescent="0.25"/>
    <row r="13" spans="1:5" x14ac:dyDescent="0.2">
      <c r="A13" s="2"/>
      <c r="B13" s="69" t="s">
        <v>8</v>
      </c>
      <c r="C13" s="69"/>
      <c r="D13" s="69"/>
      <c r="E13" s="70"/>
    </row>
    <row r="14" spans="1:5" x14ac:dyDescent="0.2">
      <c r="A14" s="3"/>
      <c r="B14" s="4" t="s">
        <v>1</v>
      </c>
      <c r="C14" s="4" t="s">
        <v>2</v>
      </c>
      <c r="D14" s="4" t="s">
        <v>3</v>
      </c>
      <c r="E14" s="5" t="s">
        <v>4</v>
      </c>
    </row>
    <row r="15" spans="1:5" x14ac:dyDescent="0.2">
      <c r="A15" s="6" t="s">
        <v>5</v>
      </c>
      <c r="B15" s="19">
        <f>AVERAGE(D20:D39)</f>
        <v>21.73</v>
      </c>
      <c r="C15" s="19">
        <f>AVERAGE(I20:I44)</f>
        <v>28.62</v>
      </c>
      <c r="D15" s="19">
        <f>AVERAGE(N20:N44)</f>
        <v>26.68</v>
      </c>
      <c r="E15" s="10">
        <f>AVERAGE(S20:S44)</f>
        <v>19.96</v>
      </c>
    </row>
    <row r="16" spans="1:5" ht="17" thickBot="1" x14ac:dyDescent="0.25">
      <c r="A16" s="7" t="s">
        <v>6</v>
      </c>
      <c r="B16" s="20">
        <f>STDEV(D20:D39)</f>
        <v>2.6754438884043008</v>
      </c>
      <c r="C16" s="20">
        <f>STDEV(I20:I44)</f>
        <v>1.2767145334803702</v>
      </c>
      <c r="D16" s="20">
        <f>STDEV(N20:N44)</f>
        <v>0.89999999999999958</v>
      </c>
      <c r="E16" s="11">
        <f>STDEV(S20:S44)</f>
        <v>0.97809338340808061</v>
      </c>
    </row>
    <row r="18" spans="1:29" x14ac:dyDescent="0.2">
      <c r="B18" s="68" t="s">
        <v>23</v>
      </c>
      <c r="C18" s="68"/>
      <c r="D18" s="68"/>
      <c r="G18" s="68" t="s">
        <v>24</v>
      </c>
      <c r="H18" s="68"/>
      <c r="I18" s="68"/>
      <c r="L18" s="68" t="s">
        <v>18</v>
      </c>
      <c r="M18" s="68"/>
      <c r="N18" s="68"/>
      <c r="Q18" s="68" t="s">
        <v>19</v>
      </c>
      <c r="R18" s="68"/>
      <c r="S18" s="68"/>
      <c r="V18" s="68" t="s">
        <v>29</v>
      </c>
      <c r="W18" s="68"/>
      <c r="X18" s="68"/>
      <c r="AA18" s="68" t="s">
        <v>39</v>
      </c>
      <c r="AB18" s="68"/>
      <c r="AC18" s="68"/>
    </row>
    <row r="19" spans="1:29" ht="35" thickBot="1" x14ac:dyDescent="0.25">
      <c r="B19" s="67" t="s">
        <v>57</v>
      </c>
      <c r="C19" s="67" t="s">
        <v>58</v>
      </c>
      <c r="D19" s="67" t="s">
        <v>59</v>
      </c>
      <c r="G19" s="67" t="s">
        <v>57</v>
      </c>
      <c r="H19" s="67" t="s">
        <v>58</v>
      </c>
      <c r="I19" s="67" t="s">
        <v>59</v>
      </c>
      <c r="L19" s="67" t="s">
        <v>57</v>
      </c>
      <c r="M19" s="67" t="s">
        <v>58</v>
      </c>
      <c r="N19" s="67" t="s">
        <v>59</v>
      </c>
      <c r="Q19" s="67" t="s">
        <v>57</v>
      </c>
      <c r="R19" s="67" t="s">
        <v>58</v>
      </c>
      <c r="S19" s="67" t="s">
        <v>59</v>
      </c>
      <c r="V19" s="67" t="s">
        <v>57</v>
      </c>
      <c r="W19" s="67" t="s">
        <v>58</v>
      </c>
      <c r="X19" s="67" t="s">
        <v>59</v>
      </c>
      <c r="AA19" s="67" t="s">
        <v>57</v>
      </c>
      <c r="AB19" s="67" t="s">
        <v>58</v>
      </c>
      <c r="AC19" s="67" t="s">
        <v>59</v>
      </c>
    </row>
    <row r="20" spans="1:29" x14ac:dyDescent="0.2">
      <c r="A20">
        <v>1</v>
      </c>
      <c r="B20" s="1">
        <v>28</v>
      </c>
      <c r="C20" s="1">
        <v>25</v>
      </c>
      <c r="D20" s="25">
        <v>26</v>
      </c>
      <c r="F20">
        <v>1</v>
      </c>
      <c r="G20" s="27">
        <v>28</v>
      </c>
      <c r="H20" s="27">
        <v>26.2</v>
      </c>
      <c r="I20" s="27">
        <v>27.1</v>
      </c>
      <c r="K20">
        <v>1</v>
      </c>
      <c r="L20" s="29">
        <v>25</v>
      </c>
      <c r="M20" s="29">
        <v>25</v>
      </c>
      <c r="N20" s="29">
        <v>28</v>
      </c>
      <c r="P20">
        <v>1</v>
      </c>
      <c r="Q20" s="25">
        <v>9</v>
      </c>
      <c r="R20" s="25">
        <v>19</v>
      </c>
      <c r="S20" s="25">
        <v>22</v>
      </c>
      <c r="U20">
        <v>1</v>
      </c>
      <c r="V20" s="37">
        <v>12</v>
      </c>
      <c r="W20" s="25">
        <v>18</v>
      </c>
      <c r="X20" s="30">
        <v>20</v>
      </c>
      <c r="Z20">
        <v>1</v>
      </c>
      <c r="AA20" s="37">
        <v>23</v>
      </c>
      <c r="AB20" s="25">
        <v>26</v>
      </c>
      <c r="AC20" s="25">
        <v>26</v>
      </c>
    </row>
    <row r="21" spans="1:29" x14ac:dyDescent="0.2">
      <c r="A21">
        <v>2</v>
      </c>
      <c r="B21" s="1">
        <v>28</v>
      </c>
      <c r="C21" s="1">
        <v>26</v>
      </c>
      <c r="D21" s="25">
        <v>27</v>
      </c>
      <c r="F21">
        <v>2</v>
      </c>
      <c r="G21" s="27">
        <v>30</v>
      </c>
      <c r="H21" s="27">
        <v>27.5</v>
      </c>
      <c r="I21" s="27">
        <v>28.4</v>
      </c>
      <c r="K21">
        <v>2</v>
      </c>
      <c r="L21" s="25">
        <v>24</v>
      </c>
      <c r="M21" s="25">
        <v>25</v>
      </c>
      <c r="N21" s="25">
        <v>29</v>
      </c>
      <c r="P21">
        <v>2</v>
      </c>
      <c r="Q21" s="25">
        <v>9</v>
      </c>
      <c r="R21" s="25">
        <v>19</v>
      </c>
      <c r="S21" s="25">
        <v>22</v>
      </c>
      <c r="U21">
        <v>2</v>
      </c>
      <c r="V21" s="38">
        <v>9</v>
      </c>
      <c r="W21" s="25">
        <v>15</v>
      </c>
      <c r="X21" s="1">
        <v>19</v>
      </c>
      <c r="Z21">
        <v>2</v>
      </c>
      <c r="AA21" s="38">
        <v>19</v>
      </c>
      <c r="AB21" s="25">
        <v>21</v>
      </c>
      <c r="AC21" s="25">
        <v>26</v>
      </c>
    </row>
    <row r="22" spans="1:29" x14ac:dyDescent="0.2">
      <c r="A22">
        <v>3</v>
      </c>
      <c r="B22" s="1">
        <v>19</v>
      </c>
      <c r="C22" s="1">
        <v>21</v>
      </c>
      <c r="D22" s="25">
        <v>22</v>
      </c>
      <c r="F22">
        <v>3</v>
      </c>
      <c r="G22" s="27">
        <v>29</v>
      </c>
      <c r="H22" s="27">
        <v>27.1</v>
      </c>
      <c r="I22" s="27">
        <v>28.1</v>
      </c>
      <c r="K22">
        <v>3</v>
      </c>
      <c r="L22" s="25">
        <v>24</v>
      </c>
      <c r="M22" s="25">
        <v>25</v>
      </c>
      <c r="N22" s="25">
        <v>28</v>
      </c>
      <c r="P22">
        <v>3</v>
      </c>
      <c r="Q22" s="25">
        <v>8</v>
      </c>
      <c r="R22" s="25">
        <v>18</v>
      </c>
      <c r="S22" s="25">
        <v>21</v>
      </c>
      <c r="U22">
        <v>3</v>
      </c>
      <c r="V22" s="38">
        <v>8</v>
      </c>
      <c r="W22" s="25">
        <v>14</v>
      </c>
      <c r="X22" s="25">
        <v>18</v>
      </c>
      <c r="Z22">
        <v>3</v>
      </c>
      <c r="AA22" s="38">
        <v>22</v>
      </c>
      <c r="AB22" s="25">
        <v>24</v>
      </c>
      <c r="AC22" s="25">
        <v>27</v>
      </c>
    </row>
    <row r="23" spans="1:29" x14ac:dyDescent="0.2">
      <c r="A23">
        <v>4</v>
      </c>
      <c r="B23" s="1">
        <v>25</v>
      </c>
      <c r="C23" s="1">
        <v>22.5</v>
      </c>
      <c r="D23" s="25">
        <v>23.5</v>
      </c>
      <c r="F23">
        <v>4</v>
      </c>
      <c r="G23" s="27">
        <v>31</v>
      </c>
      <c r="H23" s="27">
        <v>29.8</v>
      </c>
      <c r="I23" s="27">
        <v>30.7</v>
      </c>
      <c r="K23">
        <v>4</v>
      </c>
      <c r="L23" s="25">
        <v>22</v>
      </c>
      <c r="M23" s="25">
        <v>25</v>
      </c>
      <c r="N23" s="25">
        <v>27</v>
      </c>
      <c r="P23">
        <v>4</v>
      </c>
      <c r="Q23" s="25">
        <v>8</v>
      </c>
      <c r="R23" s="25">
        <v>18</v>
      </c>
      <c r="S23" s="25">
        <v>21</v>
      </c>
      <c r="U23">
        <v>4</v>
      </c>
      <c r="V23" s="38">
        <v>8</v>
      </c>
      <c r="W23" s="25">
        <v>14</v>
      </c>
      <c r="X23" s="25">
        <v>18</v>
      </c>
      <c r="Z23">
        <v>4</v>
      </c>
      <c r="AA23" s="38">
        <v>23</v>
      </c>
      <c r="AB23" s="25">
        <v>26</v>
      </c>
      <c r="AC23" s="25">
        <v>27</v>
      </c>
    </row>
    <row r="24" spans="1:29" x14ac:dyDescent="0.2">
      <c r="A24">
        <v>5</v>
      </c>
      <c r="B24" s="1">
        <v>23</v>
      </c>
      <c r="C24" s="1">
        <v>20</v>
      </c>
      <c r="D24" s="25">
        <v>21</v>
      </c>
      <c r="F24">
        <v>5</v>
      </c>
      <c r="G24" s="27">
        <v>30</v>
      </c>
      <c r="H24" s="27">
        <v>29</v>
      </c>
      <c r="I24" s="27">
        <v>30</v>
      </c>
      <c r="K24">
        <v>5</v>
      </c>
      <c r="L24" s="25">
        <v>22</v>
      </c>
      <c r="M24" s="25">
        <v>25</v>
      </c>
      <c r="N24" s="25">
        <v>26</v>
      </c>
      <c r="P24">
        <v>5</v>
      </c>
      <c r="Q24" s="25">
        <v>7</v>
      </c>
      <c r="R24" s="25">
        <v>18</v>
      </c>
      <c r="S24" s="25">
        <v>20</v>
      </c>
      <c r="U24">
        <v>5</v>
      </c>
      <c r="V24" s="38">
        <v>11</v>
      </c>
      <c r="W24" s="25">
        <v>17</v>
      </c>
      <c r="X24" s="25">
        <v>17</v>
      </c>
      <c r="Z24">
        <v>5</v>
      </c>
      <c r="AA24" s="38">
        <v>21</v>
      </c>
      <c r="AB24" s="25">
        <v>24</v>
      </c>
      <c r="AC24" s="25">
        <v>26</v>
      </c>
    </row>
    <row r="25" spans="1:29" x14ac:dyDescent="0.2">
      <c r="A25">
        <v>6</v>
      </c>
      <c r="B25" s="1">
        <v>19</v>
      </c>
      <c r="C25" s="1">
        <v>21</v>
      </c>
      <c r="D25" s="25">
        <v>22</v>
      </c>
      <c r="F25">
        <v>6</v>
      </c>
      <c r="G25" s="27">
        <v>30</v>
      </c>
      <c r="H25" s="27">
        <v>26.4</v>
      </c>
      <c r="I25" s="27">
        <v>29.6</v>
      </c>
      <c r="K25">
        <v>6</v>
      </c>
      <c r="L25" s="25">
        <v>20</v>
      </c>
      <c r="M25" s="25">
        <v>25</v>
      </c>
      <c r="N25" s="25">
        <v>26</v>
      </c>
      <c r="P25">
        <v>6</v>
      </c>
      <c r="Q25" s="25">
        <v>8</v>
      </c>
      <c r="R25" s="25">
        <v>18</v>
      </c>
      <c r="S25" s="25">
        <v>20</v>
      </c>
      <c r="U25">
        <v>6</v>
      </c>
      <c r="V25" s="38">
        <v>11</v>
      </c>
      <c r="W25" s="25">
        <v>17</v>
      </c>
      <c r="X25" s="25">
        <v>19</v>
      </c>
      <c r="Z25">
        <v>6</v>
      </c>
      <c r="AA25" s="38">
        <v>25</v>
      </c>
      <c r="AB25" s="25">
        <v>23</v>
      </c>
      <c r="AC25" s="25">
        <v>28</v>
      </c>
    </row>
    <row r="26" spans="1:29" x14ac:dyDescent="0.2">
      <c r="A26">
        <v>7</v>
      </c>
      <c r="B26" s="1">
        <v>19</v>
      </c>
      <c r="C26" s="1">
        <v>21</v>
      </c>
      <c r="D26" s="25">
        <v>22</v>
      </c>
      <c r="F26">
        <v>7</v>
      </c>
      <c r="G26" s="27">
        <v>30</v>
      </c>
      <c r="H26" s="27">
        <v>26.8</v>
      </c>
      <c r="I26" s="27">
        <v>29.3</v>
      </c>
      <c r="K26">
        <v>7</v>
      </c>
      <c r="L26" s="25">
        <v>20</v>
      </c>
      <c r="M26" s="25">
        <v>24</v>
      </c>
      <c r="N26" s="25">
        <v>26</v>
      </c>
      <c r="P26">
        <v>7</v>
      </c>
      <c r="Q26" s="25">
        <v>8</v>
      </c>
      <c r="R26" s="25">
        <v>18</v>
      </c>
      <c r="S26" s="25">
        <v>20</v>
      </c>
      <c r="U26">
        <v>7</v>
      </c>
      <c r="V26" s="38">
        <v>8</v>
      </c>
      <c r="W26" s="25">
        <v>14</v>
      </c>
      <c r="X26" s="25">
        <v>18</v>
      </c>
      <c r="Z26">
        <v>7</v>
      </c>
      <c r="AA26" s="38">
        <v>19</v>
      </c>
      <c r="AB26" s="25">
        <v>21</v>
      </c>
      <c r="AC26" s="25">
        <v>26</v>
      </c>
    </row>
    <row r="27" spans="1:29" x14ac:dyDescent="0.2">
      <c r="A27">
        <v>8</v>
      </c>
      <c r="B27" s="1">
        <v>24</v>
      </c>
      <c r="C27" s="1">
        <v>20</v>
      </c>
      <c r="D27" s="25">
        <v>21</v>
      </c>
      <c r="F27">
        <v>8</v>
      </c>
      <c r="G27" s="27">
        <v>28</v>
      </c>
      <c r="H27" s="27">
        <v>27.9</v>
      </c>
      <c r="I27" s="27">
        <v>28.1</v>
      </c>
      <c r="K27">
        <v>8</v>
      </c>
      <c r="L27" s="25">
        <v>20</v>
      </c>
      <c r="M27" s="25">
        <v>25</v>
      </c>
      <c r="N27" s="25">
        <v>27</v>
      </c>
      <c r="P27">
        <v>8</v>
      </c>
      <c r="Q27" s="25">
        <v>8</v>
      </c>
      <c r="R27" s="25">
        <v>18</v>
      </c>
      <c r="S27" s="25">
        <v>20</v>
      </c>
      <c r="U27">
        <v>8</v>
      </c>
      <c r="V27" s="38">
        <v>10</v>
      </c>
      <c r="W27" s="25">
        <v>15</v>
      </c>
      <c r="X27" s="25">
        <v>19</v>
      </c>
      <c r="Z27">
        <v>8</v>
      </c>
      <c r="AA27" s="38">
        <v>23</v>
      </c>
      <c r="AB27" s="25">
        <v>26</v>
      </c>
      <c r="AC27" s="25">
        <v>27</v>
      </c>
    </row>
    <row r="28" spans="1:29" x14ac:dyDescent="0.2">
      <c r="A28">
        <v>9</v>
      </c>
      <c r="B28" s="1">
        <v>23</v>
      </c>
      <c r="C28" s="1">
        <v>20</v>
      </c>
      <c r="D28" s="25">
        <v>21</v>
      </c>
      <c r="F28">
        <v>9</v>
      </c>
      <c r="G28" s="27">
        <v>29</v>
      </c>
      <c r="H28" s="27">
        <v>26.4</v>
      </c>
      <c r="I28" s="27">
        <v>28.2</v>
      </c>
      <c r="K28">
        <v>9</v>
      </c>
      <c r="L28" s="25">
        <v>21</v>
      </c>
      <c r="M28" s="25">
        <v>24</v>
      </c>
      <c r="N28" s="25">
        <v>26</v>
      </c>
      <c r="P28">
        <v>9</v>
      </c>
      <c r="Q28" s="25">
        <v>8</v>
      </c>
      <c r="R28" s="25">
        <v>18</v>
      </c>
      <c r="S28" s="25">
        <v>20</v>
      </c>
      <c r="U28">
        <v>9</v>
      </c>
      <c r="V28" s="38">
        <v>11</v>
      </c>
      <c r="W28" s="25">
        <v>16</v>
      </c>
      <c r="X28" s="25">
        <v>19</v>
      </c>
      <c r="Z28">
        <v>9</v>
      </c>
      <c r="AA28" s="38">
        <v>24</v>
      </c>
      <c r="AB28" s="25">
        <v>21</v>
      </c>
      <c r="AC28" s="25">
        <v>26</v>
      </c>
    </row>
    <row r="29" spans="1:29" x14ac:dyDescent="0.2">
      <c r="A29">
        <v>10</v>
      </c>
      <c r="B29" s="1">
        <v>24</v>
      </c>
      <c r="C29" s="1">
        <v>21</v>
      </c>
      <c r="D29" s="25">
        <v>22</v>
      </c>
      <c r="F29">
        <v>10</v>
      </c>
      <c r="G29" s="27">
        <v>30</v>
      </c>
      <c r="H29" s="27">
        <v>28.2</v>
      </c>
      <c r="I29" s="27">
        <v>29.5</v>
      </c>
      <c r="K29">
        <v>10</v>
      </c>
      <c r="L29" s="25">
        <v>21</v>
      </c>
      <c r="M29" s="25">
        <v>25</v>
      </c>
      <c r="N29" s="25">
        <v>27</v>
      </c>
      <c r="P29">
        <v>10</v>
      </c>
      <c r="Q29" s="25">
        <v>7</v>
      </c>
      <c r="R29" s="25">
        <v>17</v>
      </c>
      <c r="S29" s="25">
        <v>20</v>
      </c>
      <c r="U29">
        <v>10</v>
      </c>
      <c r="V29" s="38">
        <v>10</v>
      </c>
      <c r="W29" s="25">
        <v>15</v>
      </c>
      <c r="X29" s="25">
        <v>19</v>
      </c>
      <c r="Z29">
        <v>10</v>
      </c>
      <c r="AA29" s="38">
        <v>25</v>
      </c>
      <c r="AB29" s="25">
        <v>23</v>
      </c>
      <c r="AC29" s="25">
        <v>25</v>
      </c>
    </row>
    <row r="30" spans="1:29" x14ac:dyDescent="0.2">
      <c r="A30">
        <v>11</v>
      </c>
      <c r="B30" s="1">
        <v>25</v>
      </c>
      <c r="C30" s="1">
        <v>22</v>
      </c>
      <c r="D30" s="25">
        <v>23</v>
      </c>
      <c r="F30">
        <v>11</v>
      </c>
      <c r="G30" s="27">
        <v>31</v>
      </c>
      <c r="H30" s="27">
        <v>28.2</v>
      </c>
      <c r="I30" s="27">
        <v>30</v>
      </c>
      <c r="K30">
        <v>11</v>
      </c>
      <c r="L30" s="25">
        <v>20</v>
      </c>
      <c r="M30" s="25">
        <v>25</v>
      </c>
      <c r="N30" s="25">
        <v>26</v>
      </c>
      <c r="P30">
        <v>11</v>
      </c>
      <c r="Q30" s="25">
        <v>7</v>
      </c>
      <c r="R30" s="25">
        <v>17</v>
      </c>
      <c r="S30" s="25">
        <v>20</v>
      </c>
      <c r="U30">
        <v>11</v>
      </c>
      <c r="V30" s="38">
        <v>10</v>
      </c>
      <c r="W30" s="1">
        <v>15</v>
      </c>
      <c r="X30" s="25">
        <v>19</v>
      </c>
      <c r="Z30">
        <v>11</v>
      </c>
      <c r="AA30" s="38">
        <v>25</v>
      </c>
      <c r="AB30" s="1">
        <v>23</v>
      </c>
      <c r="AC30" s="1">
        <v>26</v>
      </c>
    </row>
    <row r="31" spans="1:29" x14ac:dyDescent="0.2">
      <c r="A31">
        <v>12</v>
      </c>
      <c r="B31" s="1">
        <v>26</v>
      </c>
      <c r="C31" s="1">
        <v>22</v>
      </c>
      <c r="D31" s="25">
        <v>23</v>
      </c>
      <c r="F31">
        <v>12</v>
      </c>
      <c r="G31" s="27">
        <v>30</v>
      </c>
      <c r="H31" s="27">
        <v>28</v>
      </c>
      <c r="I31" s="27">
        <v>30</v>
      </c>
      <c r="K31">
        <v>12</v>
      </c>
      <c r="L31" s="25">
        <v>20</v>
      </c>
      <c r="M31" s="25">
        <v>25</v>
      </c>
      <c r="N31" s="25">
        <v>26</v>
      </c>
      <c r="P31">
        <v>12</v>
      </c>
      <c r="Q31" s="25">
        <v>7</v>
      </c>
      <c r="R31" s="25">
        <v>17</v>
      </c>
      <c r="S31" s="25">
        <v>18</v>
      </c>
      <c r="U31">
        <v>12</v>
      </c>
      <c r="V31" s="38">
        <v>6</v>
      </c>
      <c r="W31" s="25">
        <v>13</v>
      </c>
      <c r="X31" s="25">
        <v>16</v>
      </c>
      <c r="Z31">
        <v>12</v>
      </c>
      <c r="AA31" s="38">
        <v>23</v>
      </c>
      <c r="AB31" s="25">
        <v>26</v>
      </c>
      <c r="AC31" s="25">
        <v>27</v>
      </c>
    </row>
    <row r="32" spans="1:29" x14ac:dyDescent="0.2">
      <c r="A32">
        <v>13</v>
      </c>
      <c r="B32" s="1">
        <v>25</v>
      </c>
      <c r="C32" s="1">
        <v>23</v>
      </c>
      <c r="D32" s="25">
        <v>24</v>
      </c>
      <c r="F32">
        <v>13</v>
      </c>
      <c r="G32" s="27">
        <v>27</v>
      </c>
      <c r="H32" s="27">
        <v>28.3</v>
      </c>
      <c r="I32" s="27">
        <v>32</v>
      </c>
      <c r="K32">
        <v>13</v>
      </c>
      <c r="L32" s="25">
        <v>21</v>
      </c>
      <c r="M32" s="25">
        <v>25</v>
      </c>
      <c r="N32" s="25">
        <v>27</v>
      </c>
      <c r="P32">
        <v>13</v>
      </c>
      <c r="Q32" s="25">
        <v>8</v>
      </c>
      <c r="R32" s="25">
        <v>17</v>
      </c>
      <c r="S32" s="25">
        <v>19</v>
      </c>
      <c r="U32">
        <v>13</v>
      </c>
      <c r="V32" s="38">
        <v>9</v>
      </c>
      <c r="W32" s="25">
        <v>14</v>
      </c>
      <c r="X32" s="25">
        <v>17</v>
      </c>
      <c r="Z32">
        <v>13</v>
      </c>
      <c r="AA32" s="38">
        <v>24</v>
      </c>
      <c r="AB32" s="25">
        <v>21</v>
      </c>
      <c r="AC32" s="25">
        <v>28</v>
      </c>
    </row>
    <row r="33" spans="1:29" x14ac:dyDescent="0.2">
      <c r="A33">
        <v>14</v>
      </c>
      <c r="B33" s="1">
        <v>25</v>
      </c>
      <c r="C33" s="1">
        <v>23</v>
      </c>
      <c r="D33" s="25">
        <v>24</v>
      </c>
      <c r="F33">
        <v>14</v>
      </c>
      <c r="G33" s="27">
        <v>29</v>
      </c>
      <c r="H33" s="27">
        <v>28.9</v>
      </c>
      <c r="I33" s="27">
        <v>28.7</v>
      </c>
      <c r="K33">
        <v>14</v>
      </c>
      <c r="L33" s="25">
        <v>21</v>
      </c>
      <c r="M33" s="25">
        <v>26</v>
      </c>
      <c r="N33" s="25">
        <v>26</v>
      </c>
      <c r="P33">
        <v>14</v>
      </c>
      <c r="Q33" s="25">
        <v>8</v>
      </c>
      <c r="R33" s="25">
        <v>17</v>
      </c>
      <c r="S33" s="25">
        <v>19</v>
      </c>
      <c r="U33">
        <v>14</v>
      </c>
      <c r="V33" s="38">
        <v>11</v>
      </c>
      <c r="W33" s="25">
        <v>18</v>
      </c>
      <c r="X33" s="25">
        <v>19</v>
      </c>
      <c r="Z33">
        <v>14</v>
      </c>
      <c r="AA33" s="38">
        <v>24</v>
      </c>
      <c r="AB33" s="25">
        <v>21</v>
      </c>
      <c r="AC33" s="25">
        <v>26</v>
      </c>
    </row>
    <row r="34" spans="1:29" x14ac:dyDescent="0.2">
      <c r="A34">
        <v>15</v>
      </c>
      <c r="B34" s="1">
        <v>20</v>
      </c>
      <c r="C34" s="1">
        <v>22.9</v>
      </c>
      <c r="D34" s="25">
        <v>23.1</v>
      </c>
      <c r="F34">
        <v>15</v>
      </c>
      <c r="G34" s="27">
        <v>30</v>
      </c>
      <c r="H34" s="27">
        <v>28.3</v>
      </c>
      <c r="I34" s="27">
        <v>28.3</v>
      </c>
      <c r="K34">
        <v>15</v>
      </c>
      <c r="L34" s="25">
        <v>21</v>
      </c>
      <c r="M34" s="1">
        <v>26</v>
      </c>
      <c r="N34" s="25">
        <v>25</v>
      </c>
      <c r="P34">
        <v>15</v>
      </c>
      <c r="Q34" s="25">
        <v>8</v>
      </c>
      <c r="R34" s="25">
        <v>18</v>
      </c>
      <c r="S34" s="25">
        <v>20</v>
      </c>
      <c r="U34">
        <v>15</v>
      </c>
      <c r="V34" s="38">
        <v>13</v>
      </c>
      <c r="W34" s="25">
        <v>18</v>
      </c>
      <c r="X34" s="25">
        <v>20</v>
      </c>
      <c r="Z34">
        <v>15</v>
      </c>
      <c r="AA34" s="38">
        <v>25</v>
      </c>
      <c r="AB34" s="25">
        <v>23</v>
      </c>
      <c r="AC34" s="25">
        <v>28</v>
      </c>
    </row>
    <row r="35" spans="1:29" x14ac:dyDescent="0.2">
      <c r="A35">
        <v>16</v>
      </c>
      <c r="B35" s="1">
        <v>17</v>
      </c>
      <c r="C35" s="1">
        <v>17</v>
      </c>
      <c r="D35" s="25">
        <v>18</v>
      </c>
      <c r="F35">
        <v>16</v>
      </c>
      <c r="G35" s="27">
        <v>27</v>
      </c>
      <c r="H35" s="27">
        <v>28.5</v>
      </c>
      <c r="I35" s="27">
        <v>28</v>
      </c>
      <c r="K35">
        <v>16</v>
      </c>
      <c r="L35" s="25">
        <v>21</v>
      </c>
      <c r="M35" s="1">
        <v>25</v>
      </c>
      <c r="N35" s="25">
        <v>26</v>
      </c>
      <c r="P35">
        <v>16</v>
      </c>
      <c r="Q35" s="25">
        <v>7</v>
      </c>
      <c r="R35" s="25">
        <v>17</v>
      </c>
      <c r="S35" s="25">
        <v>19</v>
      </c>
      <c r="U35">
        <v>16</v>
      </c>
      <c r="V35" s="38">
        <v>12</v>
      </c>
      <c r="W35" s="25">
        <v>17</v>
      </c>
      <c r="X35" s="25">
        <v>18</v>
      </c>
      <c r="Z35">
        <v>16</v>
      </c>
      <c r="AA35" s="38">
        <v>23</v>
      </c>
      <c r="AB35" s="25">
        <v>26</v>
      </c>
      <c r="AC35" s="25">
        <v>27</v>
      </c>
    </row>
    <row r="36" spans="1:29" x14ac:dyDescent="0.2">
      <c r="A36">
        <v>17</v>
      </c>
      <c r="B36" s="1">
        <v>17</v>
      </c>
      <c r="C36" s="1">
        <v>17</v>
      </c>
      <c r="D36" s="25">
        <v>18</v>
      </c>
      <c r="F36">
        <v>17</v>
      </c>
      <c r="G36" s="27">
        <v>28</v>
      </c>
      <c r="H36" s="27">
        <v>28.8</v>
      </c>
      <c r="I36" s="27">
        <v>27.4</v>
      </c>
      <c r="K36">
        <v>17</v>
      </c>
      <c r="L36" s="25">
        <v>21</v>
      </c>
      <c r="M36" s="1">
        <v>25</v>
      </c>
      <c r="N36" s="25">
        <v>26</v>
      </c>
      <c r="P36">
        <v>17</v>
      </c>
      <c r="Q36" s="25">
        <v>8</v>
      </c>
      <c r="R36" s="25">
        <v>20</v>
      </c>
      <c r="S36" s="25">
        <v>21</v>
      </c>
      <c r="U36">
        <v>17</v>
      </c>
      <c r="V36" s="38">
        <v>10</v>
      </c>
      <c r="W36" s="25">
        <v>15</v>
      </c>
      <c r="X36" s="25">
        <v>19</v>
      </c>
      <c r="Z36">
        <v>17</v>
      </c>
      <c r="AA36" s="38">
        <v>22</v>
      </c>
      <c r="AB36" s="25">
        <v>23</v>
      </c>
      <c r="AC36" s="25">
        <v>26</v>
      </c>
    </row>
    <row r="37" spans="1:29" x14ac:dyDescent="0.2">
      <c r="A37">
        <v>18</v>
      </c>
      <c r="B37" s="1">
        <v>17</v>
      </c>
      <c r="C37" s="1">
        <v>17</v>
      </c>
      <c r="D37" s="25">
        <v>18</v>
      </c>
      <c r="F37">
        <v>18</v>
      </c>
      <c r="G37" s="27">
        <v>29</v>
      </c>
      <c r="H37" s="27">
        <v>27.3</v>
      </c>
      <c r="I37" s="27">
        <v>27.1</v>
      </c>
      <c r="K37">
        <v>18</v>
      </c>
      <c r="L37" s="25">
        <v>21</v>
      </c>
      <c r="M37" s="1">
        <v>24</v>
      </c>
      <c r="N37" s="25">
        <v>26</v>
      </c>
      <c r="P37">
        <v>18</v>
      </c>
      <c r="Q37" s="25">
        <v>9</v>
      </c>
      <c r="R37" s="25">
        <v>19</v>
      </c>
      <c r="S37" s="25">
        <v>20</v>
      </c>
      <c r="U37">
        <v>18</v>
      </c>
      <c r="V37" s="38">
        <v>10</v>
      </c>
      <c r="W37" s="1">
        <v>15</v>
      </c>
      <c r="X37" s="25">
        <v>19</v>
      </c>
      <c r="Z37">
        <v>18</v>
      </c>
      <c r="AA37" s="38">
        <v>18</v>
      </c>
      <c r="AB37" s="1">
        <v>21</v>
      </c>
      <c r="AC37" s="1">
        <v>25</v>
      </c>
    </row>
    <row r="38" spans="1:29" x14ac:dyDescent="0.2">
      <c r="A38">
        <v>19</v>
      </c>
      <c r="B38" s="1">
        <v>17</v>
      </c>
      <c r="C38" s="1">
        <v>18</v>
      </c>
      <c r="D38" s="25">
        <v>18</v>
      </c>
      <c r="F38">
        <v>19</v>
      </c>
      <c r="G38" s="27">
        <v>29</v>
      </c>
      <c r="H38" s="27">
        <v>27</v>
      </c>
      <c r="I38" s="27">
        <v>27</v>
      </c>
      <c r="K38">
        <v>19</v>
      </c>
      <c r="L38" s="25">
        <v>23</v>
      </c>
      <c r="M38" s="1">
        <v>26</v>
      </c>
      <c r="N38" s="25">
        <v>26</v>
      </c>
      <c r="P38">
        <v>19</v>
      </c>
      <c r="Q38" s="25">
        <v>12</v>
      </c>
      <c r="R38" s="25">
        <v>19</v>
      </c>
      <c r="S38" s="25">
        <v>19</v>
      </c>
      <c r="U38">
        <v>19</v>
      </c>
      <c r="V38" s="38">
        <v>7</v>
      </c>
      <c r="W38" s="25">
        <v>13</v>
      </c>
      <c r="X38" s="25">
        <v>16</v>
      </c>
      <c r="Z38">
        <v>19</v>
      </c>
      <c r="AA38" s="38">
        <v>25</v>
      </c>
      <c r="AB38" s="25">
        <v>23</v>
      </c>
      <c r="AC38" s="25">
        <v>26</v>
      </c>
    </row>
    <row r="39" spans="1:29" ht="17" thickBot="1" x14ac:dyDescent="0.25">
      <c r="A39">
        <v>20</v>
      </c>
      <c r="B39" s="14">
        <v>27</v>
      </c>
      <c r="C39" s="14">
        <v>25</v>
      </c>
      <c r="D39" s="26">
        <v>18</v>
      </c>
      <c r="F39">
        <v>20</v>
      </c>
      <c r="G39" s="27">
        <v>27</v>
      </c>
      <c r="H39" s="27">
        <v>25</v>
      </c>
      <c r="I39" s="27">
        <v>28</v>
      </c>
      <c r="K39">
        <v>20</v>
      </c>
      <c r="L39" s="25">
        <v>23</v>
      </c>
      <c r="M39" s="1">
        <v>26</v>
      </c>
      <c r="N39" s="25">
        <v>27</v>
      </c>
      <c r="P39">
        <v>20</v>
      </c>
      <c r="Q39" s="25">
        <v>9</v>
      </c>
      <c r="R39" s="25">
        <v>18</v>
      </c>
      <c r="S39" s="25">
        <v>20</v>
      </c>
      <c r="U39">
        <v>20</v>
      </c>
      <c r="V39" s="38">
        <v>15</v>
      </c>
      <c r="W39" s="25">
        <v>17</v>
      </c>
      <c r="X39" s="25">
        <v>19.5</v>
      </c>
      <c r="Z39">
        <v>20</v>
      </c>
      <c r="AA39" s="38">
        <v>24</v>
      </c>
      <c r="AB39" s="25">
        <v>21</v>
      </c>
      <c r="AC39" s="25">
        <v>27</v>
      </c>
    </row>
    <row r="40" spans="1:29" x14ac:dyDescent="0.2">
      <c r="A40">
        <v>21</v>
      </c>
      <c r="F40">
        <v>21</v>
      </c>
      <c r="G40" s="27">
        <v>29</v>
      </c>
      <c r="H40" s="27">
        <v>26.2</v>
      </c>
      <c r="I40" s="27">
        <v>27.3</v>
      </c>
      <c r="K40">
        <v>21</v>
      </c>
      <c r="L40" s="25">
        <v>24</v>
      </c>
      <c r="M40" s="1">
        <v>25</v>
      </c>
      <c r="N40" s="25">
        <v>28</v>
      </c>
      <c r="P40">
        <v>21</v>
      </c>
      <c r="Q40" s="25">
        <v>10</v>
      </c>
      <c r="R40" s="25">
        <v>18</v>
      </c>
      <c r="S40" s="25">
        <v>19</v>
      </c>
      <c r="U40">
        <v>21</v>
      </c>
      <c r="V40" s="38">
        <v>10</v>
      </c>
      <c r="W40" s="25">
        <v>15</v>
      </c>
      <c r="X40" s="25">
        <v>18.5</v>
      </c>
      <c r="Z40">
        <v>21</v>
      </c>
      <c r="AA40" s="38">
        <v>23</v>
      </c>
      <c r="AB40" s="25">
        <v>26</v>
      </c>
      <c r="AC40" s="25">
        <v>27</v>
      </c>
    </row>
    <row r="41" spans="1:29" x14ac:dyDescent="0.2">
      <c r="A41">
        <v>22</v>
      </c>
      <c r="F41">
        <v>22</v>
      </c>
      <c r="G41" s="27">
        <v>30</v>
      </c>
      <c r="H41" s="27">
        <v>28.6</v>
      </c>
      <c r="I41" s="27">
        <v>29.2</v>
      </c>
      <c r="K41">
        <v>22</v>
      </c>
      <c r="L41" s="25">
        <v>21</v>
      </c>
      <c r="M41" s="1">
        <v>24</v>
      </c>
      <c r="N41" s="25">
        <v>27</v>
      </c>
      <c r="P41">
        <v>22</v>
      </c>
      <c r="Q41" s="25">
        <v>7</v>
      </c>
      <c r="R41" s="25">
        <v>19</v>
      </c>
      <c r="S41" s="25">
        <v>19</v>
      </c>
      <c r="U41">
        <v>22</v>
      </c>
      <c r="V41" s="38">
        <v>5</v>
      </c>
      <c r="W41" s="25">
        <v>11</v>
      </c>
      <c r="X41" s="25">
        <v>17</v>
      </c>
      <c r="Z41">
        <v>22</v>
      </c>
      <c r="AA41" s="38">
        <v>19</v>
      </c>
      <c r="AB41" s="25">
        <v>21</v>
      </c>
      <c r="AC41" s="25">
        <v>22</v>
      </c>
    </row>
    <row r="42" spans="1:29" x14ac:dyDescent="0.2">
      <c r="A42">
        <v>23</v>
      </c>
      <c r="F42">
        <v>23</v>
      </c>
      <c r="G42" s="27">
        <v>27</v>
      </c>
      <c r="H42" s="27">
        <v>25.8</v>
      </c>
      <c r="I42" s="27">
        <v>27.3</v>
      </c>
      <c r="K42">
        <v>23</v>
      </c>
      <c r="L42" s="25">
        <v>20</v>
      </c>
      <c r="M42" s="1">
        <v>24</v>
      </c>
      <c r="N42" s="25">
        <v>27</v>
      </c>
      <c r="P42">
        <v>23</v>
      </c>
      <c r="Q42" s="25">
        <v>8</v>
      </c>
      <c r="R42" s="25">
        <v>18</v>
      </c>
      <c r="S42" s="25">
        <v>20</v>
      </c>
      <c r="U42">
        <v>23</v>
      </c>
      <c r="V42" s="38">
        <v>9</v>
      </c>
      <c r="W42" s="25">
        <v>14</v>
      </c>
      <c r="X42" s="25">
        <v>18</v>
      </c>
      <c r="Z42">
        <v>23</v>
      </c>
      <c r="AA42" s="38">
        <v>18</v>
      </c>
      <c r="AB42" s="25">
        <v>20</v>
      </c>
      <c r="AC42" s="25">
        <v>25</v>
      </c>
    </row>
    <row r="43" spans="1:29" x14ac:dyDescent="0.2">
      <c r="A43">
        <v>24</v>
      </c>
      <c r="F43">
        <v>24</v>
      </c>
      <c r="G43" s="27">
        <v>30</v>
      </c>
      <c r="H43" s="27">
        <v>28.5</v>
      </c>
      <c r="I43" s="27">
        <v>28.7</v>
      </c>
      <c r="K43">
        <v>24</v>
      </c>
      <c r="L43" s="25">
        <v>21</v>
      </c>
      <c r="M43" s="1">
        <v>25</v>
      </c>
      <c r="N43" s="25">
        <v>27</v>
      </c>
      <c r="P43">
        <v>24</v>
      </c>
      <c r="Q43" s="25">
        <v>9</v>
      </c>
      <c r="R43" s="25">
        <v>17</v>
      </c>
      <c r="S43" s="25">
        <v>19</v>
      </c>
      <c r="U43">
        <v>24</v>
      </c>
      <c r="V43" s="38">
        <v>8</v>
      </c>
      <c r="W43" s="25">
        <v>13</v>
      </c>
      <c r="X43" s="25">
        <v>18</v>
      </c>
      <c r="Z43">
        <v>24</v>
      </c>
      <c r="AA43" s="38">
        <v>19</v>
      </c>
      <c r="AB43" s="25">
        <v>21</v>
      </c>
      <c r="AC43" s="25">
        <v>25</v>
      </c>
    </row>
    <row r="44" spans="1:29" ht="17" thickBot="1" x14ac:dyDescent="0.25">
      <c r="A44">
        <v>25</v>
      </c>
      <c r="F44">
        <v>25</v>
      </c>
      <c r="G44" s="28">
        <v>29</v>
      </c>
      <c r="H44" s="28">
        <v>26.9</v>
      </c>
      <c r="I44" s="28">
        <v>27.5</v>
      </c>
      <c r="K44">
        <v>25</v>
      </c>
      <c r="L44" s="25">
        <v>23</v>
      </c>
      <c r="M44" s="1">
        <v>26</v>
      </c>
      <c r="N44" s="25">
        <v>27</v>
      </c>
      <c r="P44">
        <v>25</v>
      </c>
      <c r="Q44">
        <v>9</v>
      </c>
      <c r="R44" s="25">
        <v>17</v>
      </c>
      <c r="S44" s="25">
        <v>21</v>
      </c>
      <c r="U44">
        <v>25</v>
      </c>
      <c r="V44" s="38">
        <v>10</v>
      </c>
      <c r="W44" s="25">
        <v>15</v>
      </c>
      <c r="X44" s="25">
        <v>18</v>
      </c>
      <c r="Z44">
        <v>25</v>
      </c>
      <c r="AA44" s="38">
        <v>21</v>
      </c>
      <c r="AB44" s="25">
        <v>24</v>
      </c>
      <c r="AC44" s="25">
        <v>27</v>
      </c>
    </row>
    <row r="45" spans="1:29" x14ac:dyDescent="0.2">
      <c r="B45" s="68" t="s">
        <v>49</v>
      </c>
      <c r="C45" s="68"/>
      <c r="D45" s="68"/>
      <c r="L45" s="25"/>
    </row>
    <row r="46" spans="1:29" x14ac:dyDescent="0.2">
      <c r="B46" t="s">
        <v>46</v>
      </c>
      <c r="C46" t="s">
        <v>47</v>
      </c>
      <c r="D46" t="s">
        <v>48</v>
      </c>
      <c r="L46" s="25"/>
    </row>
    <row r="47" spans="1:29" x14ac:dyDescent="0.2">
      <c r="B47">
        <f>AVERAGE(B20:B39)</f>
        <v>22.4</v>
      </c>
      <c r="C47">
        <f>AVERAGE(C20:C39)</f>
        <v>21.22</v>
      </c>
      <c r="D47">
        <f>AVERAGE(D20:D39)</f>
        <v>21.73</v>
      </c>
      <c r="G47">
        <f>AVERAGE(G20:G44)</f>
        <v>29.08</v>
      </c>
      <c r="H47">
        <f t="shared" ref="H47:I47" si="0">AVERAGE(H20:H44)</f>
        <v>27.584000000000007</v>
      </c>
      <c r="I47">
        <f t="shared" si="0"/>
        <v>28.62</v>
      </c>
      <c r="L47">
        <f>AVERAGE(L20:L44)</f>
        <v>21.6</v>
      </c>
      <c r="M47">
        <f t="shared" ref="M47:N47" si="1">AVERAGE(M20:M44)</f>
        <v>25</v>
      </c>
      <c r="N47">
        <f t="shared" si="1"/>
        <v>26.68</v>
      </c>
      <c r="Q47">
        <f>AVERAGE(Q20:Q44)</f>
        <v>8.24</v>
      </c>
      <c r="R47">
        <f t="shared" ref="R47:S47" si="2">AVERAGE(R20:R44)</f>
        <v>17.96</v>
      </c>
      <c r="S47">
        <f t="shared" si="2"/>
        <v>19.96</v>
      </c>
      <c r="V47">
        <f>AVERAGE(V20:V44)</f>
        <v>9.7200000000000006</v>
      </c>
      <c r="W47">
        <f t="shared" ref="W47:X47" si="3">AVERAGE(W20:W44)</f>
        <v>15.12</v>
      </c>
      <c r="X47">
        <f t="shared" si="3"/>
        <v>18.32</v>
      </c>
      <c r="AA47">
        <f>AVERAGE(AA20:AA44)</f>
        <v>22.28</v>
      </c>
      <c r="AB47">
        <f t="shared" ref="AB47:AC47" si="4">AVERAGE(AB20:AB44)</f>
        <v>23</v>
      </c>
      <c r="AC47">
        <f t="shared" si="4"/>
        <v>26.24</v>
      </c>
    </row>
    <row r="48" spans="1:29" x14ac:dyDescent="0.2">
      <c r="B48">
        <f>G47</f>
        <v>29.08</v>
      </c>
      <c r="C48">
        <f>H47</f>
        <v>27.584000000000007</v>
      </c>
      <c r="D48">
        <f>I47</f>
        <v>28.62</v>
      </c>
    </row>
    <row r="49" spans="2:5" x14ac:dyDescent="0.2">
      <c r="B49">
        <f>L47</f>
        <v>21.6</v>
      </c>
      <c r="C49">
        <f>M47</f>
        <v>25</v>
      </c>
      <c r="D49">
        <f>N47</f>
        <v>26.68</v>
      </c>
    </row>
    <row r="50" spans="2:5" x14ac:dyDescent="0.2">
      <c r="B50">
        <f>Q47</f>
        <v>8.24</v>
      </c>
      <c r="C50">
        <f>R47</f>
        <v>17.96</v>
      </c>
      <c r="D50">
        <f>S47</f>
        <v>19.96</v>
      </c>
      <c r="E50">
        <f>AVERAGE(D50:D51)</f>
        <v>19.14</v>
      </c>
    </row>
    <row r="51" spans="2:5" x14ac:dyDescent="0.2">
      <c r="B51">
        <f>V47</f>
        <v>9.7200000000000006</v>
      </c>
      <c r="C51">
        <f>W47</f>
        <v>15.12</v>
      </c>
      <c r="D51">
        <f>X47</f>
        <v>18.32</v>
      </c>
    </row>
    <row r="52" spans="2:5" x14ac:dyDescent="0.2">
      <c r="B52">
        <f>AA47</f>
        <v>22.28</v>
      </c>
      <c r="C52">
        <f>AB47</f>
        <v>23</v>
      </c>
      <c r="D52">
        <f>AC47</f>
        <v>26.24</v>
      </c>
    </row>
    <row r="53" spans="2:5" x14ac:dyDescent="0.2">
      <c r="B53">
        <f>AVERAGE(B47:B52)</f>
        <v>18.886666666666667</v>
      </c>
      <c r="C53">
        <f>AVERAGE(C47:C52)</f>
        <v>21.647333333333336</v>
      </c>
      <c r="D53">
        <f>AVERAGE(D47:D52)</f>
        <v>23.591666666666669</v>
      </c>
    </row>
    <row r="57" spans="2:5" x14ac:dyDescent="0.2">
      <c r="B57" s="68" t="s">
        <v>50</v>
      </c>
      <c r="C57" s="68"/>
      <c r="D57" s="68"/>
    </row>
    <row r="58" spans="2:5" x14ac:dyDescent="0.2">
      <c r="B58">
        <f>STDEV(B20:B39)</f>
        <v>3.8851945694012837</v>
      </c>
      <c r="C58">
        <f>STDEV(C20:C39)</f>
        <v>2.6347076138589474</v>
      </c>
      <c r="D58">
        <f>STDEV(D20:D39)</f>
        <v>2.6754438884043008</v>
      </c>
    </row>
    <row r="59" spans="2:5" x14ac:dyDescent="0.2">
      <c r="B59">
        <f>STDEV(G20:G44)</f>
        <v>1.2220201853215571</v>
      </c>
      <c r="C59">
        <f>STDEV(H20:H44)</f>
        <v>1.174975177042761</v>
      </c>
      <c r="D59">
        <f>STDEV(I20:I44)</f>
        <v>1.2767145334803702</v>
      </c>
    </row>
    <row r="60" spans="2:5" x14ac:dyDescent="0.2">
      <c r="B60">
        <f>STDEV(L20:L44)</f>
        <v>1.4999999999999998</v>
      </c>
      <c r="C60">
        <f>STDEV(M20:M44)</f>
        <v>0.6454972243679028</v>
      </c>
      <c r="D60">
        <f>STDEV(N20:N44)</f>
        <v>0.89999999999999958</v>
      </c>
    </row>
    <row r="61" spans="2:5" x14ac:dyDescent="0.2">
      <c r="B61">
        <f>STDEV(Q20:Q44)</f>
        <v>1.1284207253207161</v>
      </c>
      <c r="C61">
        <f>STDEV(R20:R44)</f>
        <v>0.84063468086123272</v>
      </c>
      <c r="D61">
        <f>STDEV(S20:S44)</f>
        <v>0.97809338340808061</v>
      </c>
    </row>
    <row r="62" spans="2:5" x14ac:dyDescent="0.2">
      <c r="B62">
        <f>STDEV(V20:V44)</f>
        <v>2.1702534414210701</v>
      </c>
      <c r="C62">
        <f>STDEV(W20:W44)</f>
        <v>1.7869900204906985</v>
      </c>
      <c r="D62">
        <f>STDEV(X20:X44)</f>
        <v>1.0789655539759675</v>
      </c>
    </row>
    <row r="63" spans="2:5" x14ac:dyDescent="0.2">
      <c r="B63">
        <f>STDEV(AA20:AA44)</f>
        <v>2.3720595832876339</v>
      </c>
      <c r="C63">
        <f>STDEV(AB20:AB44)</f>
        <v>2.0615528128088303</v>
      </c>
      <c r="D63">
        <f>STDEV(AC20:AC44)</f>
        <v>1.2675435561221029</v>
      </c>
    </row>
    <row r="64" spans="2:5" x14ac:dyDescent="0.2">
      <c r="B64">
        <f>AVERAGE(B58:B63)</f>
        <v>2.0463247507920435</v>
      </c>
      <c r="C64">
        <f t="shared" ref="C64:D64" si="5">AVERAGE(C58:C63)</f>
        <v>1.5240595882383954</v>
      </c>
      <c r="D64">
        <f t="shared" si="5"/>
        <v>1.3627934858984705</v>
      </c>
    </row>
  </sheetData>
  <mergeCells count="11">
    <mergeCell ref="B45:D45"/>
    <mergeCell ref="B57:D57"/>
    <mergeCell ref="B1:E1"/>
    <mergeCell ref="B18:D18"/>
    <mergeCell ref="G18:I18"/>
    <mergeCell ref="B7:E7"/>
    <mergeCell ref="L18:N18"/>
    <mergeCell ref="AA18:AC18"/>
    <mergeCell ref="V18:X18"/>
    <mergeCell ref="Q18:S18"/>
    <mergeCell ref="B13:E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47"/>
  <sheetViews>
    <sheetView topLeftCell="A41" zoomScale="75" workbookViewId="0">
      <selection activeCell="I15" sqref="I15"/>
    </sheetView>
  </sheetViews>
  <sheetFormatPr baseColWidth="10" defaultRowHeight="16" x14ac:dyDescent="0.2"/>
  <cols>
    <col min="6" max="6" width="15.83203125" customWidth="1"/>
    <col min="7" max="7" width="13.5" customWidth="1"/>
    <col min="15" max="15" width="12.5" bestFit="1" customWidth="1"/>
  </cols>
  <sheetData>
    <row r="3" spans="1:7" ht="17" thickBot="1" x14ac:dyDescent="0.25"/>
    <row r="4" spans="1:7" x14ac:dyDescent="0.2">
      <c r="A4" s="2"/>
      <c r="B4" s="73" t="s">
        <v>9</v>
      </c>
      <c r="C4" s="73"/>
      <c r="D4" s="73"/>
      <c r="E4" s="74"/>
    </row>
    <row r="5" spans="1:7" x14ac:dyDescent="0.2">
      <c r="A5" s="3"/>
      <c r="B5" s="4" t="s">
        <v>1</v>
      </c>
      <c r="C5" s="4" t="s">
        <v>2</v>
      </c>
      <c r="D5" s="4" t="s">
        <v>3</v>
      </c>
      <c r="E5" s="5" t="s">
        <v>4</v>
      </c>
      <c r="F5" s="104" t="s">
        <v>60</v>
      </c>
      <c r="G5" s="104" t="s">
        <v>39</v>
      </c>
    </row>
    <row r="6" spans="1:7" x14ac:dyDescent="0.2">
      <c r="A6" s="6" t="s">
        <v>5</v>
      </c>
      <c r="B6" s="19">
        <f>AVERAGE(B20:B44)</f>
        <v>1277</v>
      </c>
      <c r="C6" s="19">
        <f t="shared" ref="C6:G6" si="0">AVERAGE(C20:C44)</f>
        <v>1341.76</v>
      </c>
      <c r="D6" s="19">
        <f t="shared" si="0"/>
        <v>1261.3599999999999</v>
      </c>
      <c r="E6" s="19">
        <f t="shared" si="0"/>
        <v>1015.8</v>
      </c>
      <c r="F6" s="19">
        <f t="shared" si="0"/>
        <v>1841.84</v>
      </c>
      <c r="G6" s="19">
        <f t="shared" si="0"/>
        <v>2711.24</v>
      </c>
    </row>
    <row r="7" spans="1:7" ht="17" thickBot="1" x14ac:dyDescent="0.25">
      <c r="A7" s="7" t="s">
        <v>6</v>
      </c>
      <c r="B7" s="20">
        <f>STDEV(B20:B44)</f>
        <v>135.2393589548779</v>
      </c>
      <c r="C7" s="20">
        <f t="shared" ref="C7:G7" si="1">STDEV(C20:C44)</f>
        <v>111.43356765355762</v>
      </c>
      <c r="D7" s="20">
        <f t="shared" si="1"/>
        <v>155.91687956514923</v>
      </c>
      <c r="E7" s="20">
        <f t="shared" si="1"/>
        <v>174.71667541098265</v>
      </c>
      <c r="F7" s="20">
        <f t="shared" si="1"/>
        <v>180.04621628904064</v>
      </c>
      <c r="G7" s="20">
        <f t="shared" si="1"/>
        <v>467.64750614111063</v>
      </c>
    </row>
    <row r="9" spans="1:7" ht="17" thickBot="1" x14ac:dyDescent="0.25"/>
    <row r="10" spans="1:7" x14ac:dyDescent="0.2">
      <c r="A10" s="2"/>
      <c r="B10" s="69" t="s">
        <v>10</v>
      </c>
      <c r="C10" s="69"/>
      <c r="D10" s="69"/>
      <c r="E10" s="70"/>
    </row>
    <row r="11" spans="1:7" x14ac:dyDescent="0.2">
      <c r="A11" s="3"/>
      <c r="B11" s="4" t="s">
        <v>1</v>
      </c>
      <c r="C11" s="4" t="s">
        <v>2</v>
      </c>
      <c r="D11" s="4" t="s">
        <v>3</v>
      </c>
      <c r="E11" s="5" t="s">
        <v>4</v>
      </c>
      <c r="F11" s="104" t="s">
        <v>60</v>
      </c>
      <c r="G11" s="104" t="s">
        <v>39</v>
      </c>
    </row>
    <row r="12" spans="1:7" x14ac:dyDescent="0.2">
      <c r="A12" s="6" t="s">
        <v>5</v>
      </c>
      <c r="B12" s="19">
        <f>AVERAGE(K20:K44)</f>
        <v>1292.25</v>
      </c>
      <c r="C12" s="19">
        <f t="shared" ref="C12:G12" si="2">AVERAGE(L20:L44)</f>
        <v>1265.68</v>
      </c>
      <c r="D12" s="19">
        <f t="shared" si="2"/>
        <v>1053.24</v>
      </c>
      <c r="E12" s="19">
        <f t="shared" si="2"/>
        <v>1043.32</v>
      </c>
      <c r="F12" s="19">
        <f t="shared" si="2"/>
        <v>1842.96</v>
      </c>
      <c r="G12" s="19">
        <f t="shared" si="2"/>
        <v>3035.88</v>
      </c>
    </row>
    <row r="13" spans="1:7" ht="17" thickBot="1" x14ac:dyDescent="0.25">
      <c r="A13" s="7" t="s">
        <v>6</v>
      </c>
      <c r="B13" s="20">
        <f>STDEV(K20:K44)</f>
        <v>138.41275990768756</v>
      </c>
      <c r="C13" s="20">
        <f t="shared" ref="C13:G13" si="3">STDEV(L20:L44)</f>
        <v>127.77836280059309</v>
      </c>
      <c r="D13" s="20">
        <f t="shared" si="3"/>
        <v>104.477381922277</v>
      </c>
      <c r="E13" s="20">
        <f t="shared" si="3"/>
        <v>153.57916525362435</v>
      </c>
      <c r="F13" s="20">
        <f t="shared" si="3"/>
        <v>171.11825345843928</v>
      </c>
      <c r="G13" s="20">
        <f t="shared" si="3"/>
        <v>344.6189102956086</v>
      </c>
    </row>
    <row r="17" spans="1:16" x14ac:dyDescent="0.2">
      <c r="B17" s="68" t="s">
        <v>26</v>
      </c>
      <c r="C17" s="68"/>
      <c r="D17" s="68"/>
      <c r="E17" s="68"/>
      <c r="K17" s="68" t="s">
        <v>27</v>
      </c>
      <c r="L17" s="68"/>
      <c r="M17" s="68"/>
      <c r="N17" s="68"/>
    </row>
    <row r="18" spans="1:16" x14ac:dyDescent="0.2">
      <c r="B18" t="s">
        <v>23</v>
      </c>
      <c r="C18" t="s">
        <v>24</v>
      </c>
      <c r="D18" t="s">
        <v>18</v>
      </c>
      <c r="E18" t="s">
        <v>19</v>
      </c>
      <c r="F18" t="s">
        <v>29</v>
      </c>
      <c r="G18" t="s">
        <v>42</v>
      </c>
      <c r="K18" t="s">
        <v>23</v>
      </c>
      <c r="L18" t="s">
        <v>24</v>
      </c>
      <c r="M18" t="s">
        <v>18</v>
      </c>
      <c r="N18" t="s">
        <v>19</v>
      </c>
      <c r="O18" t="s">
        <v>29</v>
      </c>
      <c r="P18" t="s">
        <v>42</v>
      </c>
    </row>
    <row r="19" spans="1:16" ht="17" thickBot="1" x14ac:dyDescent="0.25">
      <c r="B19" t="s">
        <v>28</v>
      </c>
      <c r="C19" t="s">
        <v>28</v>
      </c>
      <c r="D19" t="s">
        <v>28</v>
      </c>
      <c r="E19" t="s">
        <v>28</v>
      </c>
      <c r="K19" t="s">
        <v>28</v>
      </c>
      <c r="L19" t="s">
        <v>28</v>
      </c>
      <c r="M19" t="s">
        <v>28</v>
      </c>
      <c r="N19" t="s">
        <v>28</v>
      </c>
    </row>
    <row r="20" spans="1:16" x14ac:dyDescent="0.2">
      <c r="A20">
        <v>1</v>
      </c>
      <c r="B20" s="1">
        <v>1250</v>
      </c>
      <c r="C20" s="27">
        <v>1387</v>
      </c>
      <c r="D20" s="29">
        <v>1047</v>
      </c>
      <c r="E20" s="30">
        <v>437</v>
      </c>
      <c r="F20" s="38">
        <v>1738</v>
      </c>
      <c r="G20" s="38">
        <v>3865</v>
      </c>
      <c r="J20">
        <v>1</v>
      </c>
      <c r="K20" s="25">
        <v>1035</v>
      </c>
      <c r="L20" s="27">
        <v>1025</v>
      </c>
      <c r="M20" s="29">
        <v>927</v>
      </c>
      <c r="N20" s="29">
        <v>542</v>
      </c>
      <c r="O20" s="39">
        <v>1365</v>
      </c>
      <c r="P20" s="38">
        <v>3997</v>
      </c>
    </row>
    <row r="21" spans="1:16" x14ac:dyDescent="0.2">
      <c r="A21">
        <v>2</v>
      </c>
      <c r="B21" s="1">
        <v>1250</v>
      </c>
      <c r="C21" s="27">
        <v>1387</v>
      </c>
      <c r="D21" s="25">
        <v>927</v>
      </c>
      <c r="E21" s="25">
        <v>751</v>
      </c>
      <c r="F21" s="38">
        <v>1454</v>
      </c>
      <c r="G21" s="38">
        <v>3454</v>
      </c>
      <c r="J21">
        <v>2</v>
      </c>
      <c r="K21" s="25">
        <v>1037</v>
      </c>
      <c r="L21" s="27">
        <v>1093</v>
      </c>
      <c r="M21" s="25">
        <v>917</v>
      </c>
      <c r="N21" s="25">
        <v>789</v>
      </c>
      <c r="O21" s="40">
        <v>1759</v>
      </c>
      <c r="P21" s="40">
        <v>3759</v>
      </c>
    </row>
    <row r="22" spans="1:16" x14ac:dyDescent="0.2">
      <c r="A22">
        <v>3</v>
      </c>
      <c r="B22" s="1">
        <v>1314</v>
      </c>
      <c r="C22" s="27">
        <v>1418</v>
      </c>
      <c r="D22" s="25">
        <v>981</v>
      </c>
      <c r="E22" s="25">
        <v>849</v>
      </c>
      <c r="F22" s="38">
        <v>1994</v>
      </c>
      <c r="G22" s="38">
        <v>2994</v>
      </c>
      <c r="J22">
        <v>3</v>
      </c>
      <c r="K22" s="25">
        <v>1121</v>
      </c>
      <c r="L22" s="27">
        <v>1121</v>
      </c>
      <c r="M22" s="25">
        <v>864</v>
      </c>
      <c r="N22" s="25">
        <v>842</v>
      </c>
      <c r="O22" s="38">
        <v>1638</v>
      </c>
      <c r="P22" s="38">
        <v>3638</v>
      </c>
    </row>
    <row r="23" spans="1:16" x14ac:dyDescent="0.2">
      <c r="A23">
        <v>4</v>
      </c>
      <c r="B23" s="1">
        <v>1335</v>
      </c>
      <c r="C23" s="27">
        <v>1456</v>
      </c>
      <c r="D23" s="25">
        <v>985</v>
      </c>
      <c r="E23" s="25">
        <v>911</v>
      </c>
      <c r="F23" s="38">
        <v>1994</v>
      </c>
      <c r="G23" s="38">
        <v>2994</v>
      </c>
      <c r="J23">
        <v>4</v>
      </c>
      <c r="K23" s="25">
        <v>1121</v>
      </c>
      <c r="L23" s="27">
        <v>1141</v>
      </c>
      <c r="M23" s="25">
        <v>902</v>
      </c>
      <c r="N23" s="25">
        <v>921</v>
      </c>
      <c r="O23" s="38">
        <v>1638</v>
      </c>
      <c r="P23" s="38">
        <v>3638</v>
      </c>
    </row>
    <row r="24" spans="1:16" x14ac:dyDescent="0.2">
      <c r="A24">
        <v>5</v>
      </c>
      <c r="B24" s="1">
        <v>1207</v>
      </c>
      <c r="C24" s="27">
        <v>1209</v>
      </c>
      <c r="D24" s="25">
        <v>985</v>
      </c>
      <c r="E24" s="25">
        <v>918</v>
      </c>
      <c r="F24" s="38">
        <v>1882</v>
      </c>
      <c r="G24" s="38">
        <v>2882</v>
      </c>
      <c r="J24">
        <v>5</v>
      </c>
      <c r="K24" s="25">
        <v>1161</v>
      </c>
      <c r="L24" s="27">
        <v>1153</v>
      </c>
      <c r="M24" s="25">
        <v>902</v>
      </c>
      <c r="N24" s="25">
        <v>939</v>
      </c>
      <c r="O24" s="38">
        <v>2182</v>
      </c>
      <c r="P24" s="38">
        <v>3182</v>
      </c>
    </row>
    <row r="25" spans="1:16" x14ac:dyDescent="0.2">
      <c r="A25">
        <v>6</v>
      </c>
      <c r="B25" s="1">
        <v>1250</v>
      </c>
      <c r="C25" s="27">
        <v>1209</v>
      </c>
      <c r="D25" s="25">
        <v>1145</v>
      </c>
      <c r="E25" s="25">
        <v>963</v>
      </c>
      <c r="F25" s="38">
        <v>1960</v>
      </c>
      <c r="G25" s="38">
        <v>2960</v>
      </c>
      <c r="J25">
        <v>6</v>
      </c>
      <c r="K25" s="25">
        <v>1197</v>
      </c>
      <c r="L25" s="27">
        <v>1197</v>
      </c>
      <c r="M25" s="25">
        <v>951</v>
      </c>
      <c r="N25" s="25">
        <v>912</v>
      </c>
      <c r="O25" s="38">
        <v>1924</v>
      </c>
      <c r="P25" s="38">
        <v>2924</v>
      </c>
    </row>
    <row r="26" spans="1:16" x14ac:dyDescent="0.2">
      <c r="A26">
        <v>7</v>
      </c>
      <c r="B26" s="1">
        <v>1250</v>
      </c>
      <c r="C26" s="27">
        <v>1232</v>
      </c>
      <c r="D26" s="25">
        <v>1272</v>
      </c>
      <c r="E26" s="25">
        <v>953</v>
      </c>
      <c r="F26" s="38">
        <v>1859</v>
      </c>
      <c r="G26" s="38">
        <v>2859</v>
      </c>
      <c r="J26">
        <v>7</v>
      </c>
      <c r="K26" s="25">
        <v>1376</v>
      </c>
      <c r="L26" s="27">
        <v>1209</v>
      </c>
      <c r="M26" s="25">
        <v>985</v>
      </c>
      <c r="N26" s="25">
        <v>968</v>
      </c>
      <c r="O26" s="38">
        <v>1825</v>
      </c>
      <c r="P26" s="38">
        <v>2825</v>
      </c>
    </row>
    <row r="27" spans="1:16" ht="17" thickBot="1" x14ac:dyDescent="0.25">
      <c r="A27">
        <v>8</v>
      </c>
      <c r="B27" s="1">
        <v>1250</v>
      </c>
      <c r="C27" s="28">
        <v>1591</v>
      </c>
      <c r="D27" s="25">
        <v>1253</v>
      </c>
      <c r="E27" s="25">
        <v>982</v>
      </c>
      <c r="F27" s="38">
        <v>1932</v>
      </c>
      <c r="G27" s="38">
        <v>2932</v>
      </c>
      <c r="J27">
        <v>8</v>
      </c>
      <c r="K27" s="25">
        <v>1412</v>
      </c>
      <c r="L27" s="27">
        <v>1209</v>
      </c>
      <c r="M27" s="25">
        <v>960</v>
      </c>
      <c r="N27" s="25">
        <v>1005</v>
      </c>
      <c r="O27" s="38">
        <v>1759</v>
      </c>
      <c r="P27" s="38">
        <v>2759</v>
      </c>
    </row>
    <row r="28" spans="1:16" x14ac:dyDescent="0.2">
      <c r="A28">
        <v>9</v>
      </c>
      <c r="B28" s="1">
        <v>1314</v>
      </c>
      <c r="C28" s="27">
        <v>1232</v>
      </c>
      <c r="D28" s="25">
        <v>1291</v>
      </c>
      <c r="E28" s="25">
        <v>924</v>
      </c>
      <c r="F28" s="38">
        <v>1985</v>
      </c>
      <c r="G28" s="38">
        <v>2985</v>
      </c>
      <c r="J28">
        <v>9</v>
      </c>
      <c r="K28" s="25">
        <v>1412</v>
      </c>
      <c r="L28" s="27">
        <v>1365</v>
      </c>
      <c r="M28" s="25">
        <v>1010</v>
      </c>
      <c r="N28" s="25">
        <v>1124</v>
      </c>
      <c r="O28" s="38">
        <v>1746</v>
      </c>
      <c r="P28" s="38">
        <v>2746</v>
      </c>
    </row>
    <row r="29" spans="1:16" x14ac:dyDescent="0.2">
      <c r="A29">
        <v>10</v>
      </c>
      <c r="B29" s="1">
        <v>1335</v>
      </c>
      <c r="C29" s="27">
        <v>1267</v>
      </c>
      <c r="D29" s="25">
        <v>1377</v>
      </c>
      <c r="E29" s="25">
        <v>1006</v>
      </c>
      <c r="F29" s="38">
        <v>1649</v>
      </c>
      <c r="G29" s="38">
        <v>2649</v>
      </c>
      <c r="J29">
        <v>10</v>
      </c>
      <c r="K29" s="25">
        <v>1412</v>
      </c>
      <c r="L29" s="27">
        <v>1387</v>
      </c>
      <c r="M29" s="25">
        <v>1046</v>
      </c>
      <c r="N29" s="25">
        <v>1068</v>
      </c>
      <c r="O29" s="38">
        <v>1948</v>
      </c>
      <c r="P29" s="38">
        <v>2948</v>
      </c>
    </row>
    <row r="30" spans="1:16" x14ac:dyDescent="0.2">
      <c r="A30">
        <v>11</v>
      </c>
      <c r="B30" s="1">
        <v>1047</v>
      </c>
      <c r="C30" s="27">
        <v>1274</v>
      </c>
      <c r="D30" s="25">
        <v>1383</v>
      </c>
      <c r="E30" s="25">
        <v>1121</v>
      </c>
      <c r="F30" s="41">
        <v>1649</v>
      </c>
      <c r="G30" s="40">
        <v>2649</v>
      </c>
      <c r="J30">
        <v>11</v>
      </c>
      <c r="K30" s="25">
        <v>1423</v>
      </c>
      <c r="L30" s="27">
        <v>1387</v>
      </c>
      <c r="M30" s="25">
        <v>1088</v>
      </c>
      <c r="N30" s="25">
        <v>1137</v>
      </c>
      <c r="O30" s="38">
        <v>1948</v>
      </c>
      <c r="P30" s="38">
        <v>2948</v>
      </c>
    </row>
    <row r="31" spans="1:16" x14ac:dyDescent="0.2">
      <c r="A31">
        <v>12</v>
      </c>
      <c r="B31" s="1">
        <v>1045</v>
      </c>
      <c r="C31" s="27">
        <v>1301</v>
      </c>
      <c r="D31" s="25">
        <v>1380</v>
      </c>
      <c r="E31" s="25">
        <v>1124</v>
      </c>
      <c r="F31" s="38">
        <v>2055</v>
      </c>
      <c r="G31" s="38">
        <v>2055</v>
      </c>
      <c r="J31">
        <v>12</v>
      </c>
      <c r="K31" s="25">
        <v>1250</v>
      </c>
      <c r="L31" s="27">
        <v>1418</v>
      </c>
      <c r="M31" s="1">
        <v>1067</v>
      </c>
      <c r="N31" s="25">
        <v>1124</v>
      </c>
      <c r="O31" s="38">
        <v>1807</v>
      </c>
      <c r="P31" s="38">
        <v>2807</v>
      </c>
    </row>
    <row r="32" spans="1:16" x14ac:dyDescent="0.2">
      <c r="A32">
        <v>13</v>
      </c>
      <c r="B32" s="1">
        <v>1126</v>
      </c>
      <c r="C32" s="27">
        <v>1365</v>
      </c>
      <c r="D32" s="25">
        <v>1447</v>
      </c>
      <c r="E32" s="25">
        <v>1198</v>
      </c>
      <c r="F32" s="38">
        <v>1454</v>
      </c>
      <c r="G32" s="38">
        <v>2454</v>
      </c>
      <c r="J32">
        <v>13</v>
      </c>
      <c r="K32" s="25">
        <v>1314</v>
      </c>
      <c r="L32" s="27">
        <v>1232</v>
      </c>
      <c r="M32" s="25">
        <v>1182</v>
      </c>
      <c r="N32" s="25">
        <v>1154</v>
      </c>
      <c r="O32" s="38">
        <v>1943</v>
      </c>
      <c r="P32" s="38">
        <v>2943</v>
      </c>
    </row>
    <row r="33" spans="1:16" x14ac:dyDescent="0.2">
      <c r="A33">
        <v>14</v>
      </c>
      <c r="B33" s="1">
        <v>1161</v>
      </c>
      <c r="C33" s="27">
        <v>1387</v>
      </c>
      <c r="D33" s="25">
        <v>1447</v>
      </c>
      <c r="E33" s="25">
        <v>1185</v>
      </c>
      <c r="F33" s="38">
        <v>1454</v>
      </c>
      <c r="G33" s="38">
        <v>2454</v>
      </c>
      <c r="J33">
        <v>14</v>
      </c>
      <c r="K33" s="25">
        <v>1314</v>
      </c>
      <c r="L33" s="27">
        <v>1267</v>
      </c>
      <c r="M33" s="25">
        <v>1182</v>
      </c>
      <c r="N33" s="25">
        <v>1186</v>
      </c>
      <c r="O33" s="38">
        <v>1950</v>
      </c>
      <c r="P33" s="38">
        <v>2950</v>
      </c>
    </row>
    <row r="34" spans="1:16" x14ac:dyDescent="0.2">
      <c r="A34">
        <v>15</v>
      </c>
      <c r="B34" s="1">
        <v>1207</v>
      </c>
      <c r="C34" s="27">
        <v>1274</v>
      </c>
      <c r="D34" s="25">
        <v>1382</v>
      </c>
      <c r="E34" s="25">
        <v>1134</v>
      </c>
      <c r="F34" s="38">
        <v>1940</v>
      </c>
      <c r="G34" s="38">
        <v>2940</v>
      </c>
      <c r="J34">
        <v>15</v>
      </c>
      <c r="K34" s="25">
        <v>1376</v>
      </c>
      <c r="L34" s="27">
        <v>1274</v>
      </c>
      <c r="M34" s="1">
        <v>1128</v>
      </c>
      <c r="N34" s="25">
        <v>1132</v>
      </c>
      <c r="O34" s="38">
        <v>1931</v>
      </c>
      <c r="P34" s="38">
        <v>2931</v>
      </c>
    </row>
    <row r="35" spans="1:16" x14ac:dyDescent="0.2">
      <c r="A35">
        <v>16</v>
      </c>
      <c r="B35" s="1">
        <v>1250</v>
      </c>
      <c r="C35" s="27">
        <v>1301</v>
      </c>
      <c r="D35" s="25">
        <v>1321</v>
      </c>
      <c r="E35" s="25">
        <v>1111</v>
      </c>
      <c r="F35" s="38">
        <v>1882</v>
      </c>
      <c r="G35" s="38">
        <v>2882</v>
      </c>
      <c r="J35">
        <v>16</v>
      </c>
      <c r="K35" s="25">
        <v>1412</v>
      </c>
      <c r="L35" s="27">
        <v>1301</v>
      </c>
      <c r="M35" s="1">
        <v>1182</v>
      </c>
      <c r="N35" s="25">
        <v>1125</v>
      </c>
      <c r="O35" s="38">
        <v>1927</v>
      </c>
      <c r="P35" s="38">
        <v>2927</v>
      </c>
    </row>
    <row r="36" spans="1:16" x14ac:dyDescent="0.2">
      <c r="A36">
        <v>17</v>
      </c>
      <c r="B36" s="1">
        <v>1462</v>
      </c>
      <c r="C36" s="27">
        <v>1365</v>
      </c>
      <c r="D36" s="25">
        <v>1321</v>
      </c>
      <c r="E36" s="25">
        <v>1142</v>
      </c>
      <c r="F36" s="38">
        <v>1850</v>
      </c>
      <c r="G36" s="38">
        <v>2850</v>
      </c>
      <c r="J36">
        <v>17</v>
      </c>
      <c r="K36" s="25">
        <v>1423</v>
      </c>
      <c r="L36" s="27">
        <v>1365</v>
      </c>
      <c r="M36" s="1">
        <v>1182</v>
      </c>
      <c r="N36" s="25">
        <v>1166</v>
      </c>
      <c r="O36" s="38">
        <v>1994</v>
      </c>
      <c r="P36" s="38">
        <v>2994</v>
      </c>
    </row>
    <row r="37" spans="1:16" x14ac:dyDescent="0.2">
      <c r="A37">
        <v>18</v>
      </c>
      <c r="B37" s="1">
        <v>1462</v>
      </c>
      <c r="C37" s="27">
        <v>1387</v>
      </c>
      <c r="D37" s="25">
        <v>1332</v>
      </c>
      <c r="E37" s="25">
        <v>911</v>
      </c>
      <c r="F37" s="41">
        <v>1850</v>
      </c>
      <c r="G37" s="40">
        <v>2850</v>
      </c>
      <c r="J37">
        <v>18</v>
      </c>
      <c r="K37" s="25">
        <v>1250</v>
      </c>
      <c r="L37" s="27">
        <v>1387</v>
      </c>
      <c r="M37" s="1">
        <v>1163</v>
      </c>
      <c r="N37" s="25">
        <v>1125</v>
      </c>
      <c r="O37" s="38">
        <v>1994</v>
      </c>
      <c r="P37" s="38">
        <v>2994</v>
      </c>
    </row>
    <row r="38" spans="1:16" x14ac:dyDescent="0.2">
      <c r="A38">
        <v>19</v>
      </c>
      <c r="B38" s="1">
        <v>1485</v>
      </c>
      <c r="C38" s="27">
        <v>1387</v>
      </c>
      <c r="D38" s="25">
        <v>1341</v>
      </c>
      <c r="E38" s="25">
        <v>918</v>
      </c>
      <c r="F38" s="38">
        <v>1967</v>
      </c>
      <c r="G38" s="38">
        <v>2967</v>
      </c>
      <c r="J38">
        <v>19</v>
      </c>
      <c r="K38" s="25">
        <v>1314</v>
      </c>
      <c r="L38" s="27">
        <v>1387</v>
      </c>
      <c r="M38" s="1">
        <v>1064</v>
      </c>
      <c r="N38" s="27">
        <v>1158</v>
      </c>
      <c r="O38" s="38">
        <v>1589</v>
      </c>
      <c r="P38" s="38">
        <v>2589</v>
      </c>
    </row>
    <row r="39" spans="1:16" ht="17" thickBot="1" x14ac:dyDescent="0.25">
      <c r="A39">
        <v>20</v>
      </c>
      <c r="B39" s="14">
        <v>1540</v>
      </c>
      <c r="C39" s="27">
        <v>1418</v>
      </c>
      <c r="D39" s="25">
        <v>1341</v>
      </c>
      <c r="E39" s="25">
        <v>1124</v>
      </c>
      <c r="F39" s="38">
        <v>2011</v>
      </c>
      <c r="G39" s="38">
        <v>2011</v>
      </c>
      <c r="J39">
        <v>20</v>
      </c>
      <c r="K39" s="26">
        <v>1485</v>
      </c>
      <c r="L39" s="27">
        <v>1153</v>
      </c>
      <c r="M39" s="1">
        <v>1064</v>
      </c>
      <c r="N39" s="27">
        <v>1157</v>
      </c>
      <c r="O39" s="38">
        <v>1807</v>
      </c>
      <c r="P39" s="38">
        <v>2807</v>
      </c>
    </row>
    <row r="40" spans="1:16" x14ac:dyDescent="0.2">
      <c r="A40">
        <v>21</v>
      </c>
      <c r="B40" s="27"/>
      <c r="C40" s="27">
        <v>1456</v>
      </c>
      <c r="D40" s="25">
        <v>1272</v>
      </c>
      <c r="E40" s="25">
        <v>1024</v>
      </c>
      <c r="F40" s="38">
        <v>1927</v>
      </c>
      <c r="G40" s="38">
        <v>1927</v>
      </c>
      <c r="J40">
        <v>21</v>
      </c>
      <c r="K40" s="27"/>
      <c r="L40" s="27">
        <v>1197</v>
      </c>
      <c r="M40" s="25">
        <v>1046</v>
      </c>
      <c r="N40" s="27">
        <v>1176</v>
      </c>
      <c r="O40" s="38">
        <v>1943</v>
      </c>
      <c r="P40" s="38">
        <v>2943</v>
      </c>
    </row>
    <row r="41" spans="1:16" x14ac:dyDescent="0.2">
      <c r="A41">
        <v>22</v>
      </c>
      <c r="B41" s="27"/>
      <c r="C41" s="27">
        <v>1209</v>
      </c>
      <c r="D41" s="25">
        <v>1253</v>
      </c>
      <c r="E41" s="25">
        <v>1198</v>
      </c>
      <c r="F41" s="38">
        <v>1759</v>
      </c>
      <c r="G41" s="38">
        <v>2759</v>
      </c>
      <c r="J41">
        <v>22</v>
      </c>
      <c r="K41" s="27"/>
      <c r="L41" s="27">
        <v>1209</v>
      </c>
      <c r="M41" s="25">
        <v>1088</v>
      </c>
      <c r="N41" s="27">
        <v>1198</v>
      </c>
      <c r="O41" s="38">
        <v>1950</v>
      </c>
      <c r="P41" s="38">
        <v>2950</v>
      </c>
    </row>
    <row r="42" spans="1:16" x14ac:dyDescent="0.2">
      <c r="A42">
        <v>23</v>
      </c>
      <c r="B42" s="27"/>
      <c r="C42" s="27">
        <v>1209</v>
      </c>
      <c r="D42" s="25">
        <v>1291</v>
      </c>
      <c r="E42" s="25">
        <v>1185</v>
      </c>
      <c r="F42" s="38">
        <v>1945</v>
      </c>
      <c r="G42" s="38">
        <v>1998</v>
      </c>
      <c r="J42">
        <v>23</v>
      </c>
      <c r="K42" s="27"/>
      <c r="L42" s="27">
        <v>1209</v>
      </c>
      <c r="M42" s="1">
        <v>1067</v>
      </c>
      <c r="N42" s="27">
        <v>1048</v>
      </c>
      <c r="O42" s="38">
        <v>1931</v>
      </c>
      <c r="P42" s="38">
        <v>2931</v>
      </c>
    </row>
    <row r="43" spans="1:16" x14ac:dyDescent="0.2">
      <c r="A43">
        <v>24</v>
      </c>
      <c r="B43" s="27"/>
      <c r="C43" s="27">
        <v>1232</v>
      </c>
      <c r="D43" s="25">
        <v>1377</v>
      </c>
      <c r="E43" s="25">
        <v>1134</v>
      </c>
      <c r="F43" s="38">
        <v>1999</v>
      </c>
      <c r="G43" s="38">
        <v>1999</v>
      </c>
      <c r="J43">
        <v>24</v>
      </c>
      <c r="K43" s="27"/>
      <c r="L43" s="27">
        <v>1365</v>
      </c>
      <c r="M43" s="25">
        <v>1182</v>
      </c>
      <c r="N43" s="27">
        <v>1058</v>
      </c>
      <c r="O43" s="38">
        <v>1927</v>
      </c>
      <c r="P43" s="38">
        <v>2927</v>
      </c>
    </row>
    <row r="44" spans="1:16" ht="17" thickBot="1" x14ac:dyDescent="0.25">
      <c r="A44">
        <v>25</v>
      </c>
      <c r="B44" s="28"/>
      <c r="C44" s="28">
        <v>1591</v>
      </c>
      <c r="D44" s="25">
        <v>1383</v>
      </c>
      <c r="E44" s="25">
        <v>1192</v>
      </c>
      <c r="F44" s="38">
        <v>1857</v>
      </c>
      <c r="G44" s="38">
        <v>2412</v>
      </c>
      <c r="J44">
        <v>25</v>
      </c>
      <c r="K44" s="28"/>
      <c r="L44" s="28">
        <v>1591</v>
      </c>
      <c r="M44" s="25">
        <v>1182</v>
      </c>
      <c r="N44" s="28">
        <v>1029</v>
      </c>
      <c r="O44" s="38">
        <v>1649</v>
      </c>
      <c r="P44" s="38">
        <v>2840</v>
      </c>
    </row>
    <row r="45" spans="1:16" x14ac:dyDescent="0.2">
      <c r="M45" s="1"/>
    </row>
    <row r="46" spans="1:16" x14ac:dyDescent="0.2">
      <c r="B46">
        <f>AVERAGE(B20:B39)</f>
        <v>1277</v>
      </c>
      <c r="C46">
        <f>AVERAGE(C20:C44)</f>
        <v>1341.76</v>
      </c>
      <c r="D46">
        <f t="shared" ref="D46:G46" si="4">AVERAGE(D20:D44)</f>
        <v>1261.3599999999999</v>
      </c>
      <c r="E46">
        <f t="shared" si="4"/>
        <v>1015.8</v>
      </c>
      <c r="F46">
        <f t="shared" si="4"/>
        <v>1841.84</v>
      </c>
      <c r="G46">
        <f t="shared" si="4"/>
        <v>2711.24</v>
      </c>
      <c r="K46">
        <f>AVERAGE(K20:K39)</f>
        <v>1292.25</v>
      </c>
      <c r="L46">
        <f>AVERAGE(L20:L44)</f>
        <v>1265.68</v>
      </c>
      <c r="M46">
        <f t="shared" ref="M46:P46" si="5">AVERAGE(M20:M44)</f>
        <v>1053.24</v>
      </c>
      <c r="N46">
        <f t="shared" si="5"/>
        <v>1043.32</v>
      </c>
      <c r="O46">
        <f t="shared" si="5"/>
        <v>1842.96</v>
      </c>
      <c r="P46">
        <f t="shared" si="5"/>
        <v>3035.88</v>
      </c>
    </row>
    <row r="47" spans="1:16" x14ac:dyDescent="0.2">
      <c r="B47">
        <f>STDEV(B20:B39)</f>
        <v>135.2393589548779</v>
      </c>
      <c r="C47">
        <f>STDEV(C20:C44)</f>
        <v>111.43356765355762</v>
      </c>
      <c r="D47">
        <f t="shared" ref="D47:G47" si="6">STDEV(D20:D44)</f>
        <v>155.91687956514923</v>
      </c>
      <c r="E47">
        <f t="shared" si="6"/>
        <v>174.71667541098265</v>
      </c>
      <c r="F47">
        <f t="shared" si="6"/>
        <v>180.04621628904064</v>
      </c>
      <c r="G47">
        <f t="shared" si="6"/>
        <v>467.64750614111063</v>
      </c>
      <c r="K47">
        <f>STDEV(K20:K39)</f>
        <v>138.41275990768756</v>
      </c>
      <c r="L47">
        <f>STDEV(L20:L44)</f>
        <v>127.77836280059309</v>
      </c>
      <c r="M47">
        <f t="shared" ref="M47:P47" si="7">STDEV(M20:M44)</f>
        <v>104.477381922277</v>
      </c>
      <c r="N47">
        <f t="shared" si="7"/>
        <v>153.57916525362435</v>
      </c>
      <c r="O47">
        <f t="shared" si="7"/>
        <v>171.11825345843928</v>
      </c>
      <c r="P47">
        <f t="shared" si="7"/>
        <v>344.6189102956086</v>
      </c>
    </row>
  </sheetData>
  <mergeCells count="4">
    <mergeCell ref="B4:E4"/>
    <mergeCell ref="B10:E10"/>
    <mergeCell ref="B17:E17"/>
    <mergeCell ref="K17:N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P48"/>
  <sheetViews>
    <sheetView zoomScale="89" zoomScaleNormal="89" zoomScalePageLayoutView="89" workbookViewId="0">
      <selection activeCell="H17" sqref="H17"/>
    </sheetView>
  </sheetViews>
  <sheetFormatPr baseColWidth="10" defaultRowHeight="16" x14ac:dyDescent="0.2"/>
  <cols>
    <col min="2" max="3" width="11.33203125" bestFit="1" customWidth="1"/>
    <col min="6" max="6" width="16.6640625" customWidth="1"/>
    <col min="7" max="7" width="13.83203125" customWidth="1"/>
  </cols>
  <sheetData>
    <row r="4" spans="1:7" ht="17" thickBot="1" x14ac:dyDescent="0.25"/>
    <row r="5" spans="1:7" x14ac:dyDescent="0.2">
      <c r="A5" s="2"/>
      <c r="B5" s="73" t="s">
        <v>9</v>
      </c>
      <c r="C5" s="73"/>
      <c r="D5" s="73"/>
      <c r="E5" s="74"/>
    </row>
    <row r="6" spans="1:7" x14ac:dyDescent="0.2">
      <c r="A6" s="3"/>
      <c r="B6" s="4" t="s">
        <v>1</v>
      </c>
      <c r="C6" s="4" t="s">
        <v>2</v>
      </c>
      <c r="D6" s="4" t="s">
        <v>3</v>
      </c>
      <c r="E6" s="5" t="s">
        <v>4</v>
      </c>
      <c r="F6" s="104" t="s">
        <v>61</v>
      </c>
      <c r="G6" s="104" t="s">
        <v>39</v>
      </c>
    </row>
    <row r="7" spans="1:7" x14ac:dyDescent="0.2">
      <c r="A7" s="6" t="s">
        <v>5</v>
      </c>
      <c r="B7" s="19">
        <f>AVERAGE(B20:B44)</f>
        <v>-291.92</v>
      </c>
      <c r="C7" s="19">
        <f t="shared" ref="C7:G7" si="0">AVERAGE(C20:C44)</f>
        <v>-312.59199999999998</v>
      </c>
      <c r="D7" s="19">
        <f t="shared" si="0"/>
        <v>-256.80400000000003</v>
      </c>
      <c r="E7" s="19">
        <f t="shared" si="0"/>
        <v>-261.29199999999992</v>
      </c>
      <c r="F7" s="19">
        <f t="shared" si="0"/>
        <v>-293.39999999999998</v>
      </c>
      <c r="G7" s="19">
        <f t="shared" si="0"/>
        <v>-296.40800000000013</v>
      </c>
    </row>
    <row r="8" spans="1:7" ht="17" thickBot="1" x14ac:dyDescent="0.25">
      <c r="A8" s="7" t="s">
        <v>6</v>
      </c>
      <c r="B8" s="20">
        <f>STDEV(B20:B44)</f>
        <v>21.969538720213205</v>
      </c>
      <c r="C8" s="20">
        <f t="shared" ref="C8:G8" si="1">STDEV(C20:C44)</f>
        <v>34.766110414214374</v>
      </c>
      <c r="D8" s="20">
        <f t="shared" si="1"/>
        <v>60.588966817399942</v>
      </c>
      <c r="E8" s="20">
        <f t="shared" si="1"/>
        <v>57.096992915564734</v>
      </c>
      <c r="F8" s="20">
        <f t="shared" si="1"/>
        <v>14.031333982673683</v>
      </c>
      <c r="G8" s="20">
        <f t="shared" si="1"/>
        <v>10.762663858605512</v>
      </c>
    </row>
    <row r="10" spans="1:7" ht="17" thickBot="1" x14ac:dyDescent="0.25"/>
    <row r="11" spans="1:7" x14ac:dyDescent="0.2">
      <c r="A11" s="2"/>
      <c r="B11" s="69" t="s">
        <v>10</v>
      </c>
      <c r="C11" s="69"/>
      <c r="D11" s="69"/>
      <c r="E11" s="70"/>
    </row>
    <row r="12" spans="1:7" x14ac:dyDescent="0.2">
      <c r="A12" s="3"/>
      <c r="B12" s="4" t="s">
        <v>1</v>
      </c>
      <c r="C12" s="4" t="s">
        <v>2</v>
      </c>
      <c r="D12" s="4" t="s">
        <v>3</v>
      </c>
      <c r="E12" s="5" t="s">
        <v>4</v>
      </c>
      <c r="F12" s="104" t="s">
        <v>61</v>
      </c>
      <c r="G12" s="104" t="s">
        <v>39</v>
      </c>
    </row>
    <row r="13" spans="1:7" x14ac:dyDescent="0.2">
      <c r="A13" s="6" t="s">
        <v>5</v>
      </c>
      <c r="B13" s="19">
        <f>AVERAGE(K20:K44)</f>
        <v>-236.065</v>
      </c>
      <c r="C13" s="19">
        <f t="shared" ref="C13:G13" si="2">AVERAGE(L20:L44)</f>
        <v>-281.24799999999993</v>
      </c>
      <c r="D13" s="19">
        <f t="shared" si="2"/>
        <v>-277.70800000000003</v>
      </c>
      <c r="E13" s="19">
        <f t="shared" si="2"/>
        <v>-303.904</v>
      </c>
      <c r="F13" s="19">
        <f t="shared" si="2"/>
        <v>-294.11599999999993</v>
      </c>
      <c r="G13" s="19">
        <f t="shared" si="2"/>
        <v>-300.084</v>
      </c>
    </row>
    <row r="14" spans="1:7" ht="17" thickBot="1" x14ac:dyDescent="0.25">
      <c r="A14" s="7" t="s">
        <v>6</v>
      </c>
      <c r="B14" s="20">
        <f>STDEV(K20:K44)</f>
        <v>31.642830317882741</v>
      </c>
      <c r="C14" s="20">
        <f t="shared" ref="C14:G14" si="3">STDEV(L20:L44)</f>
        <v>56.64928743300031</v>
      </c>
      <c r="D14" s="20">
        <f t="shared" si="3"/>
        <v>53.032937249725506</v>
      </c>
      <c r="E14" s="20">
        <f t="shared" si="3"/>
        <v>40.469798203928292</v>
      </c>
      <c r="F14" s="20">
        <f t="shared" si="3"/>
        <v>12.517377254574271</v>
      </c>
      <c r="G14" s="20">
        <f t="shared" si="3"/>
        <v>5.9338492285081381</v>
      </c>
    </row>
    <row r="17" spans="1:16" x14ac:dyDescent="0.2">
      <c r="B17" s="68" t="s">
        <v>26</v>
      </c>
      <c r="C17" s="68"/>
      <c r="D17" s="68"/>
      <c r="E17" s="68"/>
      <c r="K17" s="68" t="s">
        <v>27</v>
      </c>
      <c r="L17" s="68"/>
      <c r="M17" s="68"/>
      <c r="N17" s="68"/>
    </row>
    <row r="18" spans="1:16" x14ac:dyDescent="0.2">
      <c r="B18" t="s">
        <v>23</v>
      </c>
      <c r="C18" t="s">
        <v>24</v>
      </c>
      <c r="D18" t="s">
        <v>18</v>
      </c>
      <c r="E18" t="s">
        <v>19</v>
      </c>
      <c r="F18" t="s">
        <v>31</v>
      </c>
      <c r="G18" t="s">
        <v>40</v>
      </c>
      <c r="K18" t="s">
        <v>23</v>
      </c>
      <c r="L18" t="s">
        <v>24</v>
      </c>
      <c r="M18" t="s">
        <v>18</v>
      </c>
      <c r="N18" t="s">
        <v>19</v>
      </c>
      <c r="O18" t="s">
        <v>31</v>
      </c>
      <c r="P18" t="s">
        <v>40</v>
      </c>
    </row>
    <row r="19" spans="1:16" ht="17" thickBot="1" x14ac:dyDescent="0.25"/>
    <row r="20" spans="1:16" x14ac:dyDescent="0.2">
      <c r="A20">
        <v>1</v>
      </c>
      <c r="B20" s="1">
        <v>-242.7</v>
      </c>
      <c r="C20" s="27">
        <v>-252.4</v>
      </c>
      <c r="D20" s="29">
        <v>-109.1</v>
      </c>
      <c r="E20" s="30">
        <v>-107.3</v>
      </c>
      <c r="F20" s="38">
        <v>-271.60000000000002</v>
      </c>
      <c r="G20" s="38">
        <v>-250.3</v>
      </c>
      <c r="J20">
        <v>1</v>
      </c>
      <c r="K20" s="34">
        <v>-193.2</v>
      </c>
      <c r="L20" s="36">
        <v>-198.8</v>
      </c>
      <c r="M20" s="29">
        <v>-130.1</v>
      </c>
      <c r="N20" s="29">
        <v>-192.4</v>
      </c>
      <c r="O20" s="39">
        <v>-276.8</v>
      </c>
      <c r="P20" s="39">
        <v>-289.3</v>
      </c>
    </row>
    <row r="21" spans="1:16" x14ac:dyDescent="0.2">
      <c r="A21">
        <v>2</v>
      </c>
      <c r="B21" s="33">
        <v>-260</v>
      </c>
      <c r="C21" s="36">
        <v>-258</v>
      </c>
      <c r="D21" s="25">
        <v>-133.69999999999999</v>
      </c>
      <c r="E21" s="25">
        <v>-172.5</v>
      </c>
      <c r="F21" s="38">
        <v>-298.7</v>
      </c>
      <c r="G21" s="38">
        <v>-295.3</v>
      </c>
      <c r="J21">
        <v>2</v>
      </c>
      <c r="K21" s="25">
        <v>-197.3</v>
      </c>
      <c r="L21" s="27">
        <v>-201.4</v>
      </c>
      <c r="M21" s="25">
        <v>-222.2</v>
      </c>
      <c r="N21" s="25">
        <v>-225.1</v>
      </c>
      <c r="O21" s="40">
        <v>-275.89999999999998</v>
      </c>
      <c r="P21" s="40">
        <v>-286.3</v>
      </c>
    </row>
    <row r="22" spans="1:16" x14ac:dyDescent="0.2">
      <c r="A22">
        <v>3</v>
      </c>
      <c r="B22" s="1">
        <v>-268.60000000000002</v>
      </c>
      <c r="C22" s="27">
        <v>-265.2</v>
      </c>
      <c r="D22" s="25">
        <v>-178.2</v>
      </c>
      <c r="E22" s="25">
        <v>-172.5</v>
      </c>
      <c r="F22" s="38">
        <v>-300.2</v>
      </c>
      <c r="G22" s="38">
        <v>-300.2</v>
      </c>
      <c r="J22">
        <v>3</v>
      </c>
      <c r="K22" s="25">
        <v>-201.2</v>
      </c>
      <c r="L22" s="27">
        <v>-206.3</v>
      </c>
      <c r="M22" s="25">
        <v>-189.1</v>
      </c>
      <c r="N22" s="25">
        <v>-225.1</v>
      </c>
      <c r="O22" s="38">
        <v>-287.8</v>
      </c>
      <c r="P22" s="38">
        <v>-297.3</v>
      </c>
    </row>
    <row r="23" spans="1:16" x14ac:dyDescent="0.2">
      <c r="A23">
        <v>4</v>
      </c>
      <c r="B23" s="1">
        <v>-271.3</v>
      </c>
      <c r="C23" s="27">
        <v>-276.10000000000002</v>
      </c>
      <c r="D23" s="25">
        <v>-194.4</v>
      </c>
      <c r="E23" s="25">
        <v>-203.1</v>
      </c>
      <c r="F23" s="38">
        <v>-300.2</v>
      </c>
      <c r="G23" s="38">
        <v>-300.2</v>
      </c>
      <c r="J23">
        <v>4</v>
      </c>
      <c r="K23" s="25">
        <v>-228.3</v>
      </c>
      <c r="L23" s="27">
        <v>-208.6</v>
      </c>
      <c r="M23" s="25">
        <v>-180.4</v>
      </c>
      <c r="N23" s="25">
        <v>-297.2</v>
      </c>
      <c r="O23" s="38">
        <v>-287.8</v>
      </c>
      <c r="P23" s="38">
        <v>-289.3</v>
      </c>
    </row>
    <row r="24" spans="1:16" x14ac:dyDescent="0.2">
      <c r="A24">
        <v>5</v>
      </c>
      <c r="B24" s="1">
        <v>-278.60000000000002</v>
      </c>
      <c r="C24" s="27">
        <v>-276.10000000000002</v>
      </c>
      <c r="D24" s="25">
        <v>-348.8</v>
      </c>
      <c r="E24" s="25">
        <v>-238.4</v>
      </c>
      <c r="F24" s="38">
        <v>-297.10000000000002</v>
      </c>
      <c r="G24" s="38">
        <v>-297.10000000000002</v>
      </c>
      <c r="J24">
        <v>5</v>
      </c>
      <c r="K24" s="25">
        <v>-230.1</v>
      </c>
      <c r="L24" s="27">
        <v>-208.6</v>
      </c>
      <c r="M24" s="25">
        <v>-254.5</v>
      </c>
      <c r="N24" s="25">
        <v>-312.10000000000002</v>
      </c>
      <c r="O24" s="38">
        <v>-315.8</v>
      </c>
      <c r="P24" s="38">
        <v>-300.10000000000002</v>
      </c>
    </row>
    <row r="25" spans="1:16" x14ac:dyDescent="0.2">
      <c r="A25">
        <v>6</v>
      </c>
      <c r="B25" s="1">
        <v>-280.89999999999998</v>
      </c>
      <c r="C25" s="27">
        <v>-278.89999999999998</v>
      </c>
      <c r="D25" s="25">
        <v>-243.5</v>
      </c>
      <c r="E25" s="25">
        <v>-238.4</v>
      </c>
      <c r="F25" s="38">
        <v>-310.2</v>
      </c>
      <c r="G25" s="38">
        <v>-310.2</v>
      </c>
      <c r="J25">
        <v>6</v>
      </c>
      <c r="K25" s="25">
        <v>-232.7</v>
      </c>
      <c r="L25" s="27">
        <v>-213.8</v>
      </c>
      <c r="M25" s="25">
        <v>-290.8</v>
      </c>
      <c r="N25" s="25">
        <v>-312.10000000000002</v>
      </c>
      <c r="O25" s="38">
        <v>-284.5</v>
      </c>
      <c r="P25" s="38">
        <v>-294.3</v>
      </c>
    </row>
    <row r="26" spans="1:16" x14ac:dyDescent="0.2">
      <c r="A26">
        <v>7</v>
      </c>
      <c r="B26" s="1">
        <v>-280.89999999999998</v>
      </c>
      <c r="C26" s="27">
        <v>-282.60000000000002</v>
      </c>
      <c r="D26" s="25">
        <v>-303.5</v>
      </c>
      <c r="E26" s="25">
        <v>-238.4</v>
      </c>
      <c r="F26" s="38">
        <v>-285.5</v>
      </c>
      <c r="G26" s="38">
        <v>-298.10000000000002</v>
      </c>
      <c r="J26">
        <v>7</v>
      </c>
      <c r="K26" s="25">
        <v>-232.7</v>
      </c>
      <c r="L26" s="27">
        <v>-216.4</v>
      </c>
      <c r="M26" s="25">
        <v>-340.1</v>
      </c>
      <c r="N26" s="25">
        <v>-312.10000000000002</v>
      </c>
      <c r="O26" s="38">
        <v>-294.89999999999998</v>
      </c>
      <c r="P26" s="38">
        <v>-294.89999999999998</v>
      </c>
    </row>
    <row r="27" spans="1:16" x14ac:dyDescent="0.2">
      <c r="A27">
        <v>8</v>
      </c>
      <c r="B27" s="1">
        <v>-293.10000000000002</v>
      </c>
      <c r="C27" s="27">
        <v>-293.2</v>
      </c>
      <c r="D27" s="25">
        <v>-220</v>
      </c>
      <c r="E27" s="25">
        <v>-302.39999999999998</v>
      </c>
      <c r="F27" s="38">
        <v>-276.39999999999998</v>
      </c>
      <c r="G27" s="38">
        <v>-302.3</v>
      </c>
      <c r="J27">
        <v>8</v>
      </c>
      <c r="K27" s="25">
        <v>-201.2</v>
      </c>
      <c r="L27" s="27">
        <v>-235.7</v>
      </c>
      <c r="M27" s="25">
        <v>-275.39999999999998</v>
      </c>
      <c r="N27" s="25">
        <v>-328.7</v>
      </c>
      <c r="O27" s="38">
        <v>-307.60000000000002</v>
      </c>
      <c r="P27" s="38">
        <v>-300.2</v>
      </c>
    </row>
    <row r="28" spans="1:16" x14ac:dyDescent="0.2">
      <c r="A28">
        <v>9</v>
      </c>
      <c r="B28" s="1">
        <v>-312.7</v>
      </c>
      <c r="C28" s="27">
        <v>-312.89999999999998</v>
      </c>
      <c r="D28" s="25">
        <v>-274.5</v>
      </c>
      <c r="E28" s="25">
        <v>-302.39999999999998</v>
      </c>
      <c r="F28" s="38">
        <v>-250.1</v>
      </c>
      <c r="G28" s="38">
        <v>-297.3</v>
      </c>
      <c r="J28">
        <v>9</v>
      </c>
      <c r="K28" s="25">
        <v>-239.9</v>
      </c>
      <c r="L28" s="27">
        <v>-256.5</v>
      </c>
      <c r="M28" s="25">
        <v>-220.9</v>
      </c>
      <c r="N28" s="25">
        <v>-328.7</v>
      </c>
      <c r="O28" s="38">
        <v>-258.10000000000002</v>
      </c>
      <c r="P28" s="38">
        <v>-298.3</v>
      </c>
    </row>
    <row r="29" spans="1:16" x14ac:dyDescent="0.2">
      <c r="A29">
        <v>10</v>
      </c>
      <c r="B29" s="1">
        <v>-322.7</v>
      </c>
      <c r="C29" s="27">
        <v>-321.10000000000002</v>
      </c>
      <c r="D29" s="25">
        <v>-328.4</v>
      </c>
      <c r="E29" s="25">
        <v>-298.10000000000002</v>
      </c>
      <c r="F29" s="38">
        <v>-276.5</v>
      </c>
      <c r="G29" s="38">
        <v>-298.39999999999998</v>
      </c>
      <c r="J29">
        <v>10</v>
      </c>
      <c r="K29" s="25">
        <v>-242.7</v>
      </c>
      <c r="L29" s="27">
        <v>-267.2</v>
      </c>
      <c r="M29" s="25">
        <v>-302.39999999999998</v>
      </c>
      <c r="N29" s="25">
        <v>-327.39999999999998</v>
      </c>
      <c r="O29" s="38">
        <v>-295.5</v>
      </c>
      <c r="P29" s="38">
        <v>-302.3</v>
      </c>
    </row>
    <row r="30" spans="1:16" x14ac:dyDescent="0.2">
      <c r="A30">
        <v>11</v>
      </c>
      <c r="B30" s="1">
        <v>-327.60000000000002</v>
      </c>
      <c r="C30" s="27">
        <v>-327.60000000000002</v>
      </c>
      <c r="D30" s="25">
        <v>-243</v>
      </c>
      <c r="E30" s="25">
        <v>-312.3</v>
      </c>
      <c r="F30" s="38">
        <v>-276.5</v>
      </c>
      <c r="G30" s="38">
        <v>-279.3</v>
      </c>
      <c r="J30">
        <v>11</v>
      </c>
      <c r="K30" s="25">
        <v>-228.3</v>
      </c>
      <c r="L30" s="27">
        <v>-286.10000000000002</v>
      </c>
      <c r="M30" s="25">
        <v>-302.7</v>
      </c>
      <c r="N30" s="25">
        <v>-315.10000000000002</v>
      </c>
      <c r="O30" s="38">
        <v>-295.5</v>
      </c>
      <c r="P30" s="38">
        <v>-305.3</v>
      </c>
    </row>
    <row r="31" spans="1:16" x14ac:dyDescent="0.2">
      <c r="A31">
        <v>12</v>
      </c>
      <c r="B31" s="1">
        <v>-315.89999999999998</v>
      </c>
      <c r="C31" s="27">
        <v>-327.60000000000002</v>
      </c>
      <c r="D31" s="25">
        <v>-259.2</v>
      </c>
      <c r="E31" s="25">
        <v>-312.3</v>
      </c>
      <c r="F31" s="38">
        <v>-300.2</v>
      </c>
      <c r="G31" s="38">
        <v>-299.3</v>
      </c>
      <c r="J31">
        <v>12</v>
      </c>
      <c r="K31" s="25">
        <v>-225.1</v>
      </c>
      <c r="L31" s="27">
        <v>-286.10000000000002</v>
      </c>
      <c r="M31" s="1">
        <v>-354.3</v>
      </c>
      <c r="N31" s="25">
        <v>-315.10000000000002</v>
      </c>
      <c r="O31" s="38">
        <v>-293</v>
      </c>
      <c r="P31" s="38">
        <v>-300.10000000000002</v>
      </c>
    </row>
    <row r="32" spans="1:16" x14ac:dyDescent="0.2">
      <c r="A32">
        <v>13</v>
      </c>
      <c r="B32" s="1">
        <v>-312.2</v>
      </c>
      <c r="C32" s="27">
        <v>-332.3</v>
      </c>
      <c r="D32" s="25">
        <v>-294.2</v>
      </c>
      <c r="E32" s="25">
        <v>-276.39999999999998</v>
      </c>
      <c r="F32" s="38">
        <v>-305.10000000000002</v>
      </c>
      <c r="G32" s="38">
        <v>-296.5</v>
      </c>
      <c r="J32">
        <v>13</v>
      </c>
      <c r="K32" s="25">
        <v>-225.1</v>
      </c>
      <c r="L32" s="27">
        <v>-297.5</v>
      </c>
      <c r="M32" s="1">
        <v>-348.1</v>
      </c>
      <c r="N32" s="25">
        <v>-330.1</v>
      </c>
      <c r="O32" s="38">
        <v>-300</v>
      </c>
      <c r="P32" s="38">
        <v>-299.89999999999998</v>
      </c>
    </row>
    <row r="33" spans="1:16" x14ac:dyDescent="0.2">
      <c r="A33">
        <v>14</v>
      </c>
      <c r="B33" s="1">
        <v>-312.2</v>
      </c>
      <c r="C33" s="27">
        <v>-338.1</v>
      </c>
      <c r="D33" s="25">
        <v>-319.39999999999998</v>
      </c>
      <c r="E33" s="25">
        <v>-281.39999999999998</v>
      </c>
      <c r="F33" s="38">
        <v>-305.10000000000002</v>
      </c>
      <c r="G33" s="38">
        <v>-299.3</v>
      </c>
      <c r="J33">
        <v>14</v>
      </c>
      <c r="K33" s="25">
        <v>-297.2</v>
      </c>
      <c r="L33" s="27">
        <v>-305.10000000000002</v>
      </c>
      <c r="M33" s="1">
        <v>-285.39999999999998</v>
      </c>
      <c r="N33" s="25">
        <v>-341.5</v>
      </c>
      <c r="O33" s="38">
        <v>-285.89999999999998</v>
      </c>
      <c r="P33" s="38">
        <v>-298.3</v>
      </c>
    </row>
    <row r="34" spans="1:16" x14ac:dyDescent="0.2">
      <c r="A34">
        <v>15</v>
      </c>
      <c r="B34" s="1">
        <v>-305.5</v>
      </c>
      <c r="C34" s="27">
        <v>-345.5</v>
      </c>
      <c r="D34" s="25">
        <v>-263.5</v>
      </c>
      <c r="E34" s="25">
        <v>-338.2</v>
      </c>
      <c r="F34" s="38">
        <v>-296.39999999999998</v>
      </c>
      <c r="G34" s="38">
        <v>-300.3</v>
      </c>
      <c r="J34">
        <v>15</v>
      </c>
      <c r="K34" s="25">
        <v>-320.10000000000002</v>
      </c>
      <c r="L34" s="27">
        <v>-326.8</v>
      </c>
      <c r="M34" s="1">
        <v>-314.5</v>
      </c>
      <c r="N34" s="25">
        <v>-329.3</v>
      </c>
      <c r="O34" s="38">
        <v>-297.10000000000002</v>
      </c>
      <c r="P34" s="38">
        <v>-305.3</v>
      </c>
    </row>
    <row r="35" spans="1:16" x14ac:dyDescent="0.2">
      <c r="A35">
        <v>16</v>
      </c>
      <c r="B35" s="1">
        <v>-292.10000000000002</v>
      </c>
      <c r="C35" s="27">
        <v>-352.3</v>
      </c>
      <c r="D35" s="25">
        <v>-310.10000000000002</v>
      </c>
      <c r="E35" s="25">
        <v>-338.2</v>
      </c>
      <c r="F35" s="38">
        <v>-286.5</v>
      </c>
      <c r="G35" s="38">
        <v>-298.3</v>
      </c>
      <c r="J35">
        <v>16</v>
      </c>
      <c r="K35" s="25">
        <v>-275.39999999999998</v>
      </c>
      <c r="L35" s="27">
        <v>-345.7</v>
      </c>
      <c r="M35" s="1">
        <v>-298.2</v>
      </c>
      <c r="N35" s="25">
        <v>-329.3</v>
      </c>
      <c r="O35" s="38">
        <v>-301.39999999999998</v>
      </c>
      <c r="P35" s="38">
        <v>-306.2</v>
      </c>
    </row>
    <row r="36" spans="1:16" x14ac:dyDescent="0.2">
      <c r="A36">
        <v>17</v>
      </c>
      <c r="B36" s="1">
        <v>-292.10000000000002</v>
      </c>
      <c r="C36" s="27">
        <v>-359.1</v>
      </c>
      <c r="D36" s="25">
        <v>-211.1</v>
      </c>
      <c r="E36" s="25">
        <v>-297.39999999999998</v>
      </c>
      <c r="F36" s="38">
        <v>-299.5</v>
      </c>
      <c r="G36" s="38">
        <v>-299.5</v>
      </c>
      <c r="J36">
        <v>17</v>
      </c>
      <c r="K36" s="25">
        <v>-230.1</v>
      </c>
      <c r="L36" s="27">
        <v>-356.8</v>
      </c>
      <c r="M36" s="1">
        <v>-273.5</v>
      </c>
      <c r="N36" s="25">
        <v>-319.2</v>
      </c>
      <c r="O36" s="38">
        <v>-302.60000000000002</v>
      </c>
      <c r="P36" s="38">
        <v>-305.2</v>
      </c>
    </row>
    <row r="37" spans="1:16" x14ac:dyDescent="0.2">
      <c r="A37">
        <v>18</v>
      </c>
      <c r="B37" s="1">
        <v>-292.10000000000002</v>
      </c>
      <c r="C37" s="27">
        <v>-364.2</v>
      </c>
      <c r="D37" s="25">
        <v>-317.3</v>
      </c>
      <c r="E37" s="25">
        <v>-203.1</v>
      </c>
      <c r="F37" s="38">
        <v>-299.5</v>
      </c>
      <c r="G37" s="38">
        <v>-297.39999999999998</v>
      </c>
      <c r="J37">
        <v>18</v>
      </c>
      <c r="K37" s="25">
        <v>-232.7</v>
      </c>
      <c r="L37" s="27">
        <v>-367.2</v>
      </c>
      <c r="M37" s="1">
        <f>-308-1</f>
        <v>-309</v>
      </c>
      <c r="N37" s="25">
        <v>-319.2</v>
      </c>
      <c r="O37" s="38">
        <v>-302.60000000000002</v>
      </c>
      <c r="P37" s="38">
        <v>-300</v>
      </c>
    </row>
    <row r="38" spans="1:16" x14ac:dyDescent="0.2">
      <c r="A38">
        <v>19</v>
      </c>
      <c r="B38" s="1">
        <v>-282.2</v>
      </c>
      <c r="C38" s="27">
        <v>-364.2</v>
      </c>
      <c r="D38" s="25">
        <v>-246.4</v>
      </c>
      <c r="E38" s="25">
        <v>-238.4</v>
      </c>
      <c r="F38" s="38">
        <v>-314.5</v>
      </c>
      <c r="G38" s="38">
        <v>-302.10000000000002</v>
      </c>
      <c r="J38">
        <v>19</v>
      </c>
      <c r="K38" s="25">
        <v>-232.7</v>
      </c>
      <c r="L38" s="27">
        <v>-367.2</v>
      </c>
      <c r="M38" s="1">
        <v>-295.10000000000002</v>
      </c>
      <c r="N38" s="25">
        <v>-328.7</v>
      </c>
      <c r="O38" s="38">
        <v>-299</v>
      </c>
      <c r="P38" s="38">
        <v>-298</v>
      </c>
    </row>
    <row r="39" spans="1:16" ht="17" thickBot="1" x14ac:dyDescent="0.25">
      <c r="A39">
        <v>20</v>
      </c>
      <c r="B39" s="14">
        <v>-295</v>
      </c>
      <c r="C39" s="27">
        <v>-343.4</v>
      </c>
      <c r="D39" s="25">
        <v>-276.3</v>
      </c>
      <c r="E39" s="25">
        <v>-238.4</v>
      </c>
      <c r="F39" s="38">
        <v>-295.5</v>
      </c>
      <c r="G39" s="38">
        <v>-298.3</v>
      </c>
      <c r="J39">
        <v>20</v>
      </c>
      <c r="K39" s="26">
        <v>-255.3</v>
      </c>
      <c r="L39" s="27">
        <v>-337.6</v>
      </c>
      <c r="M39" s="1">
        <v>-289.3</v>
      </c>
      <c r="N39" s="25">
        <v>-327.39999999999998</v>
      </c>
      <c r="O39" s="38">
        <v>-302.89999999999998</v>
      </c>
      <c r="P39" s="38">
        <v>-304.2</v>
      </c>
    </row>
    <row r="40" spans="1:16" x14ac:dyDescent="0.2">
      <c r="A40">
        <v>21</v>
      </c>
      <c r="B40" s="27"/>
      <c r="C40" s="27">
        <v>-334.1</v>
      </c>
      <c r="D40" s="25">
        <v>-263.5</v>
      </c>
      <c r="E40" s="25">
        <v>-238.4</v>
      </c>
      <c r="F40" s="38">
        <v>-300.10000000000002</v>
      </c>
      <c r="G40" s="38">
        <v>-299.10000000000002</v>
      </c>
      <c r="J40">
        <v>21</v>
      </c>
      <c r="K40" s="27"/>
      <c r="L40" s="27">
        <v>-328.2</v>
      </c>
      <c r="M40" s="1">
        <v>-285.39999999999998</v>
      </c>
      <c r="N40" s="25">
        <v>-315.10000000000002</v>
      </c>
      <c r="O40" s="38">
        <v>-310.2</v>
      </c>
      <c r="P40" s="38">
        <v>-310.2</v>
      </c>
    </row>
    <row r="41" spans="1:16" x14ac:dyDescent="0.2">
      <c r="A41">
        <v>22</v>
      </c>
      <c r="B41" s="27"/>
      <c r="C41" s="27">
        <v>-325.89999999999998</v>
      </c>
      <c r="D41" s="25">
        <v>-310.10000000000002</v>
      </c>
      <c r="E41" s="25">
        <v>-302.39999999999998</v>
      </c>
      <c r="F41" s="38">
        <v>-294.5</v>
      </c>
      <c r="G41" s="38">
        <v>-298.3</v>
      </c>
      <c r="J41">
        <v>22</v>
      </c>
      <c r="K41" s="27"/>
      <c r="L41" s="27">
        <v>-325.10000000000002</v>
      </c>
      <c r="M41" s="1">
        <v>-314.5</v>
      </c>
      <c r="N41" s="25">
        <v>-315.10000000000002</v>
      </c>
      <c r="O41" s="38">
        <v>-278.8</v>
      </c>
      <c r="P41" s="38">
        <v>-299.8</v>
      </c>
    </row>
    <row r="42" spans="1:16" x14ac:dyDescent="0.2">
      <c r="A42">
        <v>23</v>
      </c>
      <c r="B42" s="27"/>
      <c r="C42" s="27">
        <v>-314.60000000000002</v>
      </c>
      <c r="D42" s="25">
        <v>-211.1</v>
      </c>
      <c r="E42" s="25">
        <v>-302.39999999999998</v>
      </c>
      <c r="F42" s="38">
        <v>-300</v>
      </c>
      <c r="G42" s="38">
        <v>-297.5</v>
      </c>
      <c r="J42">
        <v>23</v>
      </c>
      <c r="K42" s="27"/>
      <c r="L42" s="27">
        <v>-312.39999999999998</v>
      </c>
      <c r="M42" s="1">
        <v>-298.2</v>
      </c>
      <c r="N42" s="25">
        <v>-225.1</v>
      </c>
      <c r="O42" s="38">
        <v>-298.39999999999998</v>
      </c>
      <c r="P42" s="38">
        <v>-304.10000000000002</v>
      </c>
    </row>
    <row r="43" spans="1:16" x14ac:dyDescent="0.2">
      <c r="A43">
        <v>24</v>
      </c>
      <c r="B43" s="27"/>
      <c r="C43" s="27">
        <v>-295.3</v>
      </c>
      <c r="D43" s="25">
        <v>-317.3</v>
      </c>
      <c r="E43" s="25">
        <v>-298.10000000000002</v>
      </c>
      <c r="F43" s="38">
        <v>-295.2</v>
      </c>
      <c r="G43" s="38">
        <v>-297.3</v>
      </c>
      <c r="J43">
        <v>24</v>
      </c>
      <c r="K43" s="27"/>
      <c r="L43" s="27">
        <v>-294.2</v>
      </c>
      <c r="M43" s="1">
        <v>-273.5</v>
      </c>
      <c r="N43" s="25">
        <v>-297.2</v>
      </c>
      <c r="O43" s="38">
        <v>-301.39999999999998</v>
      </c>
      <c r="P43" s="38">
        <v>-307</v>
      </c>
    </row>
    <row r="44" spans="1:16" ht="17" thickBot="1" x14ac:dyDescent="0.25">
      <c r="A44">
        <v>25</v>
      </c>
      <c r="B44" s="28"/>
      <c r="C44" s="28">
        <v>-274.10000000000002</v>
      </c>
      <c r="D44" s="25">
        <v>-243.5</v>
      </c>
      <c r="E44" s="25">
        <v>-281.39999999999998</v>
      </c>
      <c r="F44" s="38">
        <v>-299.89999999999998</v>
      </c>
      <c r="G44" s="38">
        <v>-298.3</v>
      </c>
      <c r="J44">
        <v>25</v>
      </c>
      <c r="K44" s="28"/>
      <c r="L44" s="28">
        <v>-281.89999999999998</v>
      </c>
      <c r="M44" s="1">
        <v>-295.10000000000002</v>
      </c>
      <c r="N44" s="25">
        <v>-329.3</v>
      </c>
      <c r="O44" s="38">
        <v>-299.39999999999998</v>
      </c>
      <c r="P44" s="38">
        <v>-306.2</v>
      </c>
    </row>
    <row r="45" spans="1:16" x14ac:dyDescent="0.2">
      <c r="K45" s="51"/>
      <c r="L45" s="51"/>
      <c r="M45" s="25"/>
      <c r="N45" s="51"/>
      <c r="O45" s="25"/>
    </row>
    <row r="46" spans="1:16" x14ac:dyDescent="0.2">
      <c r="K46" s="51"/>
    </row>
    <row r="47" spans="1:16" x14ac:dyDescent="0.2">
      <c r="B47">
        <f>AVERAGE(B20:G44)</f>
        <v>-285.17793103448281</v>
      </c>
      <c r="K47" s="51">
        <f>AVERAGE(K20:P44)</f>
        <v>-283.77793103448261</v>
      </c>
    </row>
    <row r="48" spans="1:16" x14ac:dyDescent="0.2">
      <c r="B48">
        <f>STDEV(B20:F44)</f>
        <v>47.133923595446284</v>
      </c>
      <c r="K48">
        <f>STDEV(K20:O44)</f>
        <v>47.157539111980171</v>
      </c>
    </row>
  </sheetData>
  <mergeCells count="4">
    <mergeCell ref="B5:E5"/>
    <mergeCell ref="B11:E11"/>
    <mergeCell ref="B17:E17"/>
    <mergeCell ref="K17:N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3"/>
  <sheetViews>
    <sheetView zoomScale="84" workbookViewId="0">
      <selection activeCell="T17" sqref="T17"/>
    </sheetView>
  </sheetViews>
  <sheetFormatPr baseColWidth="10" defaultRowHeight="16" x14ac:dyDescent="0.2"/>
  <sheetData>
    <row r="3" spans="1:7" ht="17" thickBot="1" x14ac:dyDescent="0.25"/>
    <row r="4" spans="1:7" x14ac:dyDescent="0.2">
      <c r="A4" s="2"/>
      <c r="B4" s="73" t="s">
        <v>9</v>
      </c>
      <c r="C4" s="73"/>
      <c r="D4" s="73"/>
      <c r="E4" s="74"/>
    </row>
    <row r="5" spans="1:7" x14ac:dyDescent="0.2">
      <c r="A5" s="3"/>
      <c r="B5" s="4" t="s">
        <v>1</v>
      </c>
      <c r="C5" s="4" t="s">
        <v>2</v>
      </c>
      <c r="D5" s="4" t="s">
        <v>3</v>
      </c>
      <c r="E5" s="5" t="s">
        <v>4</v>
      </c>
      <c r="F5" s="5" t="s">
        <v>32</v>
      </c>
      <c r="G5" s="4" t="s">
        <v>40</v>
      </c>
    </row>
    <row r="6" spans="1:7" x14ac:dyDescent="0.2">
      <c r="A6" s="6" t="s">
        <v>5</v>
      </c>
      <c r="B6" s="22" t="s">
        <v>22</v>
      </c>
      <c r="C6" s="22" t="s">
        <v>22</v>
      </c>
      <c r="D6" s="22" t="e">
        <f>'[1]Alcalinidad D1'!$H$15</f>
        <v>#REF!</v>
      </c>
      <c r="E6" s="21">
        <v>543.41</v>
      </c>
      <c r="F6" s="21">
        <v>1122.9100000000001</v>
      </c>
      <c r="G6">
        <v>1531.97</v>
      </c>
    </row>
    <row r="7" spans="1:7" ht="17" thickBot="1" x14ac:dyDescent="0.25">
      <c r="A7" s="7" t="s">
        <v>6</v>
      </c>
      <c r="B7" s="17" t="s">
        <v>22</v>
      </c>
      <c r="C7" s="17" t="s">
        <v>22</v>
      </c>
      <c r="D7" s="17" t="e">
        <f>'[1]Alcalinidad D1'!$H$16</f>
        <v>#REF!</v>
      </c>
      <c r="E7" s="18">
        <f>181.88</f>
        <v>181.88</v>
      </c>
      <c r="F7" s="18">
        <v>174.74</v>
      </c>
      <c r="G7">
        <v>302.52999999999997</v>
      </c>
    </row>
    <row r="8" spans="1:7" x14ac:dyDescent="0.2">
      <c r="B8" s="22"/>
      <c r="C8" s="22"/>
      <c r="D8" s="22"/>
      <c r="E8" s="22"/>
    </row>
    <row r="9" spans="1:7" ht="17" thickBot="1" x14ac:dyDescent="0.25">
      <c r="B9" s="22"/>
      <c r="C9" s="22"/>
      <c r="D9" s="22"/>
      <c r="E9" s="22"/>
    </row>
    <row r="10" spans="1:7" x14ac:dyDescent="0.2">
      <c r="A10" s="2"/>
      <c r="B10" s="75" t="s">
        <v>10</v>
      </c>
      <c r="C10" s="75"/>
      <c r="D10" s="75"/>
      <c r="E10" s="76"/>
    </row>
    <row r="11" spans="1:7" x14ac:dyDescent="0.2">
      <c r="A11" s="3"/>
      <c r="B11" s="23" t="s">
        <v>1</v>
      </c>
      <c r="C11" s="23" t="s">
        <v>2</v>
      </c>
      <c r="D11" s="23" t="s">
        <v>3</v>
      </c>
      <c r="E11" s="24" t="s">
        <v>4</v>
      </c>
      <c r="F11" s="5" t="s">
        <v>32</v>
      </c>
      <c r="G11" s="23" t="s">
        <v>40</v>
      </c>
    </row>
    <row r="12" spans="1:7" x14ac:dyDescent="0.2">
      <c r="A12" s="6" t="s">
        <v>5</v>
      </c>
      <c r="B12" s="22" t="s">
        <v>22</v>
      </c>
      <c r="C12" s="22" t="s">
        <v>22</v>
      </c>
      <c r="D12" s="22" t="e">
        <f>'[1]Alcalinidad D2'!$I$14</f>
        <v>#REF!</v>
      </c>
      <c r="E12" s="21">
        <v>607.35900000000004</v>
      </c>
      <c r="F12" s="21">
        <v>1287.3399999999999</v>
      </c>
      <c r="G12">
        <v>2169.63</v>
      </c>
    </row>
    <row r="13" spans="1:7" ht="17" thickBot="1" x14ac:dyDescent="0.25">
      <c r="A13" s="7" t="s">
        <v>6</v>
      </c>
      <c r="B13" s="17" t="s">
        <v>22</v>
      </c>
      <c r="C13" s="17" t="s">
        <v>22</v>
      </c>
      <c r="D13" s="17" t="e">
        <f>'[1]Alcalinidad D2'!$I$15</f>
        <v>#REF!</v>
      </c>
      <c r="E13" s="18">
        <v>207.95</v>
      </c>
      <c r="F13" s="18">
        <v>136.97999999999999</v>
      </c>
      <c r="G13">
        <v>322</v>
      </c>
    </row>
  </sheetData>
  <mergeCells count="2">
    <mergeCell ref="B4:E4"/>
    <mergeCell ref="B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E104"/>
  <sheetViews>
    <sheetView zoomScale="113" zoomScaleNormal="110" zoomScalePageLayoutView="110" workbookViewId="0">
      <selection activeCell="V51" sqref="V51"/>
    </sheetView>
  </sheetViews>
  <sheetFormatPr baseColWidth="10" defaultRowHeight="16" x14ac:dyDescent="0.2"/>
  <cols>
    <col min="2" max="2" width="11.33203125" bestFit="1" customWidth="1"/>
    <col min="26" max="26" width="12" bestFit="1" customWidth="1"/>
  </cols>
  <sheetData>
    <row r="3" spans="1:15" x14ac:dyDescent="0.2">
      <c r="B3" s="9" t="s">
        <v>11</v>
      </c>
      <c r="C3" s="9"/>
      <c r="D3" s="9"/>
      <c r="E3" s="9"/>
      <c r="L3" s="9" t="s">
        <v>12</v>
      </c>
      <c r="M3" s="9"/>
      <c r="N3" s="9"/>
      <c r="O3" s="9"/>
    </row>
    <row r="4" spans="1:15" ht="17" thickBot="1" x14ac:dyDescent="0.25"/>
    <row r="5" spans="1:15" x14ac:dyDescent="0.2">
      <c r="A5" s="2"/>
      <c r="B5" s="73" t="s">
        <v>9</v>
      </c>
      <c r="C5" s="73"/>
      <c r="D5" s="73"/>
      <c r="E5" s="74"/>
      <c r="I5" s="2"/>
      <c r="J5" s="55"/>
      <c r="K5" s="55"/>
      <c r="L5" s="73" t="s">
        <v>9</v>
      </c>
      <c r="M5" s="73"/>
      <c r="N5" s="73"/>
      <c r="O5" s="74"/>
    </row>
    <row r="6" spans="1:15" x14ac:dyDescent="0.2">
      <c r="A6" s="3"/>
      <c r="B6" s="4" t="s">
        <v>1</v>
      </c>
      <c r="C6" s="4" t="s">
        <v>2</v>
      </c>
      <c r="D6" s="4" t="s">
        <v>3</v>
      </c>
      <c r="E6" s="5" t="s">
        <v>4</v>
      </c>
      <c r="I6" s="3"/>
      <c r="L6" s="4" t="s">
        <v>1</v>
      </c>
      <c r="M6" s="4" t="s">
        <v>2</v>
      </c>
      <c r="N6" s="4" t="s">
        <v>3</v>
      </c>
      <c r="O6" s="5" t="s">
        <v>4</v>
      </c>
    </row>
    <row r="7" spans="1:15" x14ac:dyDescent="0.2">
      <c r="A7" s="6" t="s">
        <v>5</v>
      </c>
      <c r="B7" s="22">
        <f>AVERAGE(B20:B44)</f>
        <v>46.6</v>
      </c>
      <c r="C7" s="22">
        <f>AVERAGE(C20:C44)</f>
        <v>46.280000000000008</v>
      </c>
      <c r="D7" s="22">
        <f t="shared" ref="D7:E7" si="0">AVERAGE(D20:D44)</f>
        <v>59.02</v>
      </c>
      <c r="E7" s="22">
        <f t="shared" si="0"/>
        <v>39.015999999999998</v>
      </c>
      <c r="I7" s="6" t="s">
        <v>5</v>
      </c>
      <c r="J7" s="4"/>
      <c r="K7" s="4"/>
      <c r="L7" s="22" t="s">
        <v>22</v>
      </c>
      <c r="M7" s="22" t="s">
        <v>22</v>
      </c>
      <c r="N7" s="22" t="e">
        <f>'[1]Digestor 1'!$L$22</f>
        <v>#REF!</v>
      </c>
      <c r="O7" s="21" t="e">
        <f>'[2]Digestor 1'!$L$20</f>
        <v>#REF!</v>
      </c>
    </row>
    <row r="8" spans="1:15" ht="17" thickBot="1" x14ac:dyDescent="0.25">
      <c r="A8" s="7" t="s">
        <v>6</v>
      </c>
      <c r="B8" s="17">
        <f>STDEV(B20:B44)</f>
        <v>16.211107303327577</v>
      </c>
      <c r="C8" s="17">
        <f t="shared" ref="C8:E8" si="1">STDEV(C20:C44)</f>
        <v>25.164624641216736</v>
      </c>
      <c r="D8" s="17">
        <f t="shared" si="1"/>
        <v>20.247304347328154</v>
      </c>
      <c r="E8" s="17">
        <f t="shared" si="1"/>
        <v>25.257600836183951</v>
      </c>
      <c r="I8" s="7" t="s">
        <v>6</v>
      </c>
      <c r="J8" s="56"/>
      <c r="K8" s="56"/>
      <c r="L8" s="17" t="s">
        <v>22</v>
      </c>
      <c r="M8" s="17" t="s">
        <v>22</v>
      </c>
      <c r="N8" s="17" t="e">
        <f>'[1]Digestor 1'!$L$23</f>
        <v>#REF!</v>
      </c>
      <c r="O8" s="18" t="e">
        <f>'[2]Digestor 1'!$L$21</f>
        <v>#REF!</v>
      </c>
    </row>
    <row r="9" spans="1:15" x14ac:dyDescent="0.2">
      <c r="B9" s="22"/>
      <c r="C9" s="22"/>
      <c r="D9" s="22"/>
      <c r="E9" s="22"/>
      <c r="L9" s="22"/>
      <c r="M9" s="22"/>
      <c r="N9" s="22"/>
      <c r="O9" s="22"/>
    </row>
    <row r="10" spans="1:15" ht="17" thickBot="1" x14ac:dyDescent="0.25">
      <c r="B10" s="22"/>
      <c r="C10" s="22"/>
      <c r="D10" s="22"/>
      <c r="E10" s="22"/>
      <c r="L10" s="22"/>
      <c r="M10" s="22"/>
      <c r="N10" s="22"/>
      <c r="O10" s="22"/>
    </row>
    <row r="11" spans="1:15" x14ac:dyDescent="0.2">
      <c r="A11" s="2"/>
      <c r="B11" s="75" t="s">
        <v>10</v>
      </c>
      <c r="C11" s="75"/>
      <c r="D11" s="75"/>
      <c r="E11" s="76"/>
      <c r="I11" s="2"/>
      <c r="J11" s="55"/>
      <c r="K11" s="55"/>
      <c r="L11" s="75" t="s">
        <v>10</v>
      </c>
      <c r="M11" s="75"/>
      <c r="N11" s="75"/>
      <c r="O11" s="76"/>
    </row>
    <row r="12" spans="1:15" x14ac:dyDescent="0.2">
      <c r="A12" s="3"/>
      <c r="B12" s="23" t="s">
        <v>1</v>
      </c>
      <c r="C12" s="23" t="s">
        <v>2</v>
      </c>
      <c r="D12" s="23" t="s">
        <v>3</v>
      </c>
      <c r="E12" s="24" t="s">
        <v>4</v>
      </c>
      <c r="I12" s="3"/>
      <c r="L12" s="23" t="s">
        <v>1</v>
      </c>
      <c r="M12" s="23" t="s">
        <v>2</v>
      </c>
      <c r="N12" s="23" t="s">
        <v>3</v>
      </c>
      <c r="O12" s="24" t="s">
        <v>4</v>
      </c>
    </row>
    <row r="13" spans="1:15" x14ac:dyDescent="0.2">
      <c r="A13" s="6" t="s">
        <v>5</v>
      </c>
      <c r="B13" s="22">
        <f>AVERAGE(M20:M44)</f>
        <v>13.330000000000002</v>
      </c>
      <c r="C13" s="22">
        <f t="shared" ref="C13:E13" si="2">AVERAGE(N20:N44)</f>
        <v>32.224000000000004</v>
      </c>
      <c r="D13" s="22">
        <f t="shared" si="2"/>
        <v>58.623999999999988</v>
      </c>
      <c r="E13" s="22">
        <f t="shared" si="2"/>
        <v>43.863999999999997</v>
      </c>
      <c r="I13" s="6" t="s">
        <v>5</v>
      </c>
      <c r="J13" s="4"/>
      <c r="K13" s="4"/>
      <c r="L13" s="22" t="s">
        <v>22</v>
      </c>
      <c r="M13" s="22" t="s">
        <v>22</v>
      </c>
      <c r="N13" s="22" t="e">
        <f>'[1]Digestor 2'!$M$22</f>
        <v>#REF!</v>
      </c>
      <c r="O13" s="21" t="e">
        <f>'[2]Digestor 2'!$L$20</f>
        <v>#REF!</v>
      </c>
    </row>
    <row r="14" spans="1:15" ht="17" thickBot="1" x14ac:dyDescent="0.25">
      <c r="A14" s="7" t="s">
        <v>6</v>
      </c>
      <c r="B14" s="17">
        <f>STDEV(M20:M44)</f>
        <v>8.8174527888846939</v>
      </c>
      <c r="C14" s="17">
        <f t="shared" ref="C14:E14" si="3">STDEV(N20:N44)</f>
        <v>26.627699863112472</v>
      </c>
      <c r="D14" s="17">
        <f t="shared" si="3"/>
        <v>20.441854123342175</v>
      </c>
      <c r="E14" s="17">
        <f t="shared" si="3"/>
        <v>25.351510145682987</v>
      </c>
      <c r="I14" s="7" t="s">
        <v>6</v>
      </c>
      <c r="J14" s="56"/>
      <c r="K14" s="56"/>
      <c r="L14" s="17" t="s">
        <v>22</v>
      </c>
      <c r="M14" s="17" t="s">
        <v>22</v>
      </c>
      <c r="N14" s="17" t="e">
        <f>'[1]Digestor 2'!$M$23</f>
        <v>#REF!</v>
      </c>
      <c r="O14" s="18" t="e">
        <f>'[2]Digestor 2'!$L$21</f>
        <v>#REF!</v>
      </c>
    </row>
    <row r="17" spans="1:22" x14ac:dyDescent="0.2">
      <c r="A17" s="57" t="s">
        <v>26</v>
      </c>
      <c r="C17" s="57"/>
      <c r="D17" s="57"/>
      <c r="E17" s="57"/>
      <c r="F17" s="57"/>
      <c r="G17" s="57"/>
      <c r="H17" s="57"/>
      <c r="I17" s="57"/>
      <c r="J17" s="57"/>
      <c r="K17" s="57"/>
      <c r="M17" s="68" t="s">
        <v>27</v>
      </c>
      <c r="N17" s="68"/>
      <c r="O17" s="68"/>
      <c r="P17" s="68"/>
    </row>
    <row r="18" spans="1:22" x14ac:dyDescent="0.2">
      <c r="A18" s="58" t="s">
        <v>56</v>
      </c>
      <c r="B18" s="58" t="s">
        <v>23</v>
      </c>
      <c r="C18" s="58" t="s">
        <v>24</v>
      </c>
      <c r="D18" s="58" t="s">
        <v>18</v>
      </c>
      <c r="E18" s="58" t="s">
        <v>19</v>
      </c>
      <c r="F18" s="58" t="s">
        <v>31</v>
      </c>
      <c r="G18" s="58" t="s">
        <v>40</v>
      </c>
      <c r="H18" s="58" t="s">
        <v>52</v>
      </c>
      <c r="I18" s="58" t="s">
        <v>53</v>
      </c>
      <c r="J18" s="58" t="s">
        <v>54</v>
      </c>
      <c r="K18" s="58" t="s">
        <v>55</v>
      </c>
      <c r="M18" t="s">
        <v>23</v>
      </c>
      <c r="N18" t="s">
        <v>24</v>
      </c>
      <c r="O18" t="s">
        <v>18</v>
      </c>
      <c r="P18" t="s">
        <v>19</v>
      </c>
      <c r="Q18" t="s">
        <v>31</v>
      </c>
      <c r="R18" t="s">
        <v>40</v>
      </c>
    </row>
    <row r="19" spans="1:22" ht="17" thickBot="1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22" x14ac:dyDescent="0.2">
      <c r="A20" s="60">
        <v>1</v>
      </c>
      <c r="B20" s="60">
        <v>15.1</v>
      </c>
      <c r="C20" s="61">
        <v>2.4</v>
      </c>
      <c r="D20" s="62">
        <v>6.3</v>
      </c>
      <c r="E20" s="60">
        <v>1.4</v>
      </c>
      <c r="F20" s="63">
        <v>3.6</v>
      </c>
      <c r="G20" s="63">
        <v>7.4</v>
      </c>
      <c r="H20" s="59">
        <f>AVERAGE(B20:E20)</f>
        <v>6.3</v>
      </c>
      <c r="I20" s="59">
        <f>AVERAGE(F20:G20)</f>
        <v>5.5</v>
      </c>
      <c r="J20" s="59">
        <f>STDEV(B20:E20)</f>
        <v>6.2359174679165417</v>
      </c>
      <c r="K20" s="59">
        <f>STDEV(F20:G20)</f>
        <v>2.6870057685088802</v>
      </c>
      <c r="L20">
        <v>1</v>
      </c>
      <c r="M20" s="25">
        <v>0.3</v>
      </c>
      <c r="N20" s="27">
        <v>1.8</v>
      </c>
      <c r="O20" s="29">
        <v>2.4</v>
      </c>
      <c r="P20" s="29">
        <v>1.2</v>
      </c>
      <c r="Q20" s="39">
        <v>9.1</v>
      </c>
      <c r="R20" s="38">
        <v>11.1</v>
      </c>
      <c r="S20">
        <f>AVERAGE(M20:P20)</f>
        <v>1.425</v>
      </c>
      <c r="T20">
        <f>AVERAGE(Q20:R20)</f>
        <v>10.1</v>
      </c>
      <c r="U20">
        <f>STDEV(M20:P20)</f>
        <v>0.89582364335844566</v>
      </c>
      <c r="V20">
        <f>STDEV(Q20:R20)</f>
        <v>1.4142135623730951</v>
      </c>
    </row>
    <row r="21" spans="1:22" x14ac:dyDescent="0.2">
      <c r="A21" s="60">
        <v>2</v>
      </c>
      <c r="B21" s="64">
        <v>19</v>
      </c>
      <c r="C21" s="65">
        <v>5.8</v>
      </c>
      <c r="D21" s="62">
        <v>20.9</v>
      </c>
      <c r="E21" s="62">
        <v>1.9</v>
      </c>
      <c r="F21" s="63">
        <v>6</v>
      </c>
      <c r="G21" s="63">
        <v>10.9</v>
      </c>
      <c r="H21" s="59">
        <f t="shared" ref="H21:H44" si="4">AVERAGE(B21:E21)</f>
        <v>11.9</v>
      </c>
      <c r="I21" s="59">
        <f t="shared" ref="I21:I44" si="5">AVERAGE(F21:G21)</f>
        <v>8.4499999999999993</v>
      </c>
      <c r="J21" s="59">
        <f t="shared" ref="J21:J44" si="6">STDEV(B21:E21)</f>
        <v>9.4625577937468872</v>
      </c>
      <c r="K21" s="59">
        <f t="shared" ref="K21:K44" si="7">STDEV(F21:G21)</f>
        <v>3.4648232278140862</v>
      </c>
      <c r="L21">
        <v>2</v>
      </c>
      <c r="M21" s="25">
        <v>0.9</v>
      </c>
      <c r="N21" s="27">
        <v>2.2000000000000002</v>
      </c>
      <c r="O21" s="25">
        <v>21.2</v>
      </c>
      <c r="P21" s="25">
        <v>1.7</v>
      </c>
      <c r="Q21" s="40">
        <v>16.399999999999999</v>
      </c>
      <c r="R21" s="38">
        <v>13.5</v>
      </c>
      <c r="S21">
        <f t="shared" ref="S21:S44" si="8">AVERAGE(M21:P21)</f>
        <v>6.5</v>
      </c>
      <c r="T21">
        <f t="shared" ref="T21:T44" si="9">AVERAGE(Q21:R21)</f>
        <v>14.95</v>
      </c>
      <c r="U21">
        <f t="shared" ref="U21:U44" si="10">STDEV(M21:P21)</f>
        <v>9.8146149525422874</v>
      </c>
      <c r="V21">
        <f t="shared" ref="V21:V44" si="11">STDEV(Q21:R21)</f>
        <v>2.0506096654409869</v>
      </c>
    </row>
    <row r="22" spans="1:22" x14ac:dyDescent="0.2">
      <c r="A22" s="60">
        <v>3</v>
      </c>
      <c r="B22" s="60">
        <v>23.2</v>
      </c>
      <c r="C22" s="61">
        <v>12.4</v>
      </c>
      <c r="D22" s="62">
        <v>25.8</v>
      </c>
      <c r="E22" s="62">
        <v>2.1</v>
      </c>
      <c r="F22" s="63">
        <v>9.6</v>
      </c>
      <c r="G22" s="63">
        <v>26.5</v>
      </c>
      <c r="H22" s="59">
        <f t="shared" si="4"/>
        <v>15.875000000000002</v>
      </c>
      <c r="I22" s="59">
        <f t="shared" si="5"/>
        <v>18.05</v>
      </c>
      <c r="J22" s="59">
        <f t="shared" si="6"/>
        <v>10.862588703128424</v>
      </c>
      <c r="K22" s="59">
        <f t="shared" si="7"/>
        <v>11.950104602052651</v>
      </c>
      <c r="L22">
        <v>3</v>
      </c>
      <c r="M22" s="25">
        <v>1.3</v>
      </c>
      <c r="N22" s="27">
        <v>3.4</v>
      </c>
      <c r="O22" s="25">
        <v>27.3</v>
      </c>
      <c r="P22" s="25">
        <v>2.7</v>
      </c>
      <c r="Q22" s="38">
        <v>24.5</v>
      </c>
      <c r="R22" s="38">
        <v>22.5</v>
      </c>
      <c r="S22">
        <f t="shared" si="8"/>
        <v>8.6750000000000007</v>
      </c>
      <c r="T22">
        <f t="shared" si="9"/>
        <v>23.5</v>
      </c>
      <c r="U22">
        <f t="shared" si="10"/>
        <v>12.447322335881454</v>
      </c>
      <c r="V22">
        <f t="shared" si="11"/>
        <v>1.4142135623730951</v>
      </c>
    </row>
    <row r="23" spans="1:22" x14ac:dyDescent="0.2">
      <c r="A23" s="60">
        <v>4</v>
      </c>
      <c r="B23" s="60">
        <v>27.4</v>
      </c>
      <c r="C23" s="61">
        <v>17.899999999999999</v>
      </c>
      <c r="D23" s="62">
        <v>30.2</v>
      </c>
      <c r="E23" s="62">
        <v>4.0999999999999996</v>
      </c>
      <c r="F23" s="63">
        <v>9.6</v>
      </c>
      <c r="G23" s="63">
        <v>32.4</v>
      </c>
      <c r="H23" s="59">
        <f t="shared" si="4"/>
        <v>19.899999999999999</v>
      </c>
      <c r="I23" s="59">
        <f t="shared" si="5"/>
        <v>21</v>
      </c>
      <c r="J23" s="59">
        <f t="shared" si="6"/>
        <v>11.775398082442903</v>
      </c>
      <c r="K23" s="59">
        <f t="shared" si="7"/>
        <v>16.122034611053287</v>
      </c>
      <c r="L23">
        <v>4</v>
      </c>
      <c r="M23" s="25">
        <v>2.5</v>
      </c>
      <c r="N23" s="27">
        <v>5.9</v>
      </c>
      <c r="O23" s="25">
        <v>31.4</v>
      </c>
      <c r="P23" s="25">
        <v>5.9</v>
      </c>
      <c r="Q23" s="38">
        <v>34.5</v>
      </c>
      <c r="R23" s="38">
        <v>32.5</v>
      </c>
      <c r="S23">
        <f t="shared" si="8"/>
        <v>11.424999999999999</v>
      </c>
      <c r="T23">
        <f t="shared" si="9"/>
        <v>33.5</v>
      </c>
      <c r="U23">
        <f t="shared" si="10"/>
        <v>13.412773762350575</v>
      </c>
      <c r="V23">
        <f t="shared" si="11"/>
        <v>1.4142135623730951</v>
      </c>
    </row>
    <row r="24" spans="1:22" x14ac:dyDescent="0.2">
      <c r="A24" s="60">
        <v>5</v>
      </c>
      <c r="B24" s="60">
        <v>31.9</v>
      </c>
      <c r="C24" s="61">
        <v>18.5</v>
      </c>
      <c r="D24" s="62">
        <v>33.200000000000003</v>
      </c>
      <c r="E24" s="62">
        <v>6.2</v>
      </c>
      <c r="F24" s="63">
        <v>13.5</v>
      </c>
      <c r="G24" s="63">
        <v>42.5</v>
      </c>
      <c r="H24" s="59">
        <f t="shared" si="4"/>
        <v>22.45</v>
      </c>
      <c r="I24" s="59">
        <f t="shared" si="5"/>
        <v>28</v>
      </c>
      <c r="J24" s="59">
        <f t="shared" si="6"/>
        <v>12.708658465786238</v>
      </c>
      <c r="K24" s="59">
        <f t="shared" si="7"/>
        <v>20.506096654409877</v>
      </c>
      <c r="L24">
        <v>5</v>
      </c>
      <c r="M24" s="25">
        <v>4.7</v>
      </c>
      <c r="N24" s="27">
        <v>6.2</v>
      </c>
      <c r="O24" s="25">
        <v>37.9</v>
      </c>
      <c r="P24" s="25">
        <v>8.4</v>
      </c>
      <c r="Q24" s="38">
        <v>43.6</v>
      </c>
      <c r="R24" s="38">
        <v>35.700000000000003</v>
      </c>
      <c r="S24">
        <f t="shared" si="8"/>
        <v>14.299999999999999</v>
      </c>
      <c r="T24">
        <f t="shared" si="9"/>
        <v>39.650000000000006</v>
      </c>
      <c r="U24">
        <f t="shared" si="10"/>
        <v>15.806538731381599</v>
      </c>
      <c r="V24">
        <f t="shared" si="11"/>
        <v>5.5861435713737251</v>
      </c>
    </row>
    <row r="25" spans="1:22" x14ac:dyDescent="0.2">
      <c r="A25" s="60">
        <v>6</v>
      </c>
      <c r="B25" s="60">
        <v>36.799999999999997</v>
      </c>
      <c r="C25" s="61">
        <v>19.100000000000001</v>
      </c>
      <c r="D25" s="62">
        <v>46.5</v>
      </c>
      <c r="E25" s="62">
        <v>7.9</v>
      </c>
      <c r="F25" s="63">
        <v>26.4</v>
      </c>
      <c r="G25" s="63">
        <v>55.2</v>
      </c>
      <c r="H25" s="59">
        <f t="shared" si="4"/>
        <v>27.575000000000003</v>
      </c>
      <c r="I25" s="59">
        <f t="shared" si="5"/>
        <v>40.799999999999997</v>
      </c>
      <c r="J25" s="59">
        <f t="shared" si="6"/>
        <v>17.341544529443343</v>
      </c>
      <c r="K25" s="59">
        <f t="shared" si="7"/>
        <v>20.364675298172585</v>
      </c>
      <c r="L25">
        <v>6</v>
      </c>
      <c r="M25" s="25">
        <v>6.8</v>
      </c>
      <c r="N25" s="27">
        <v>6.8</v>
      </c>
      <c r="O25" s="25">
        <v>42.3</v>
      </c>
      <c r="P25" s="25">
        <v>10.9</v>
      </c>
      <c r="Q25" s="38">
        <v>49.1</v>
      </c>
      <c r="R25" s="38">
        <v>45.9</v>
      </c>
      <c r="S25">
        <f t="shared" si="8"/>
        <v>16.7</v>
      </c>
      <c r="T25">
        <f t="shared" si="9"/>
        <v>47.5</v>
      </c>
      <c r="U25">
        <f t="shared" si="10"/>
        <v>17.175758110391129</v>
      </c>
      <c r="V25">
        <f t="shared" si="11"/>
        <v>2.2627416997969543</v>
      </c>
    </row>
    <row r="26" spans="1:22" x14ac:dyDescent="0.2">
      <c r="A26" s="60">
        <v>7</v>
      </c>
      <c r="B26" s="60">
        <v>39.1</v>
      </c>
      <c r="C26" s="61">
        <v>22.4</v>
      </c>
      <c r="D26" s="62">
        <v>54.7</v>
      </c>
      <c r="E26" s="62">
        <v>11.6</v>
      </c>
      <c r="F26" s="63">
        <v>28.3</v>
      </c>
      <c r="G26" s="63">
        <v>62.2</v>
      </c>
      <c r="H26" s="59">
        <f t="shared" si="4"/>
        <v>31.95</v>
      </c>
      <c r="I26" s="59">
        <f t="shared" si="5"/>
        <v>45.25</v>
      </c>
      <c r="J26" s="59">
        <f t="shared" si="6"/>
        <v>18.920976014289892</v>
      </c>
      <c r="K26" s="59">
        <f t="shared" si="7"/>
        <v>23.970919882223971</v>
      </c>
      <c r="L26">
        <v>7</v>
      </c>
      <c r="M26" s="25">
        <v>8.1</v>
      </c>
      <c r="N26" s="27">
        <v>9.5</v>
      </c>
      <c r="O26" s="25">
        <v>48.9</v>
      </c>
      <c r="P26" s="25">
        <v>25.1</v>
      </c>
      <c r="Q26" s="38">
        <v>54</v>
      </c>
      <c r="R26" s="38">
        <v>57.3</v>
      </c>
      <c r="S26">
        <f t="shared" si="8"/>
        <v>22.9</v>
      </c>
      <c r="T26">
        <f t="shared" si="9"/>
        <v>55.65</v>
      </c>
      <c r="U26">
        <f t="shared" si="10"/>
        <v>18.968746224601496</v>
      </c>
      <c r="V26">
        <f t="shared" si="11"/>
        <v>2.3334523779156049</v>
      </c>
    </row>
    <row r="27" spans="1:22" x14ac:dyDescent="0.2">
      <c r="A27" s="60">
        <v>8</v>
      </c>
      <c r="B27" s="60">
        <v>43.4</v>
      </c>
      <c r="C27" s="61">
        <v>28.9</v>
      </c>
      <c r="D27" s="62">
        <v>58.2</v>
      </c>
      <c r="E27" s="62">
        <v>22.5</v>
      </c>
      <c r="F27" s="63">
        <v>30.1</v>
      </c>
      <c r="G27" s="63">
        <v>61.9</v>
      </c>
      <c r="H27" s="59">
        <f t="shared" si="4"/>
        <v>38.25</v>
      </c>
      <c r="I27" s="59">
        <f t="shared" si="5"/>
        <v>46</v>
      </c>
      <c r="J27" s="59">
        <f t="shared" si="6"/>
        <v>15.916553228217055</v>
      </c>
      <c r="K27" s="59">
        <f t="shared" si="7"/>
        <v>22.48599564173221</v>
      </c>
      <c r="L27">
        <v>8</v>
      </c>
      <c r="M27" s="25">
        <v>9.9</v>
      </c>
      <c r="N27" s="27">
        <v>13.5</v>
      </c>
      <c r="O27" s="25">
        <v>53.2</v>
      </c>
      <c r="P27" s="25">
        <v>30.7</v>
      </c>
      <c r="Q27" s="38">
        <v>57.6</v>
      </c>
      <c r="R27" s="38">
        <v>61.1</v>
      </c>
      <c r="S27">
        <f t="shared" si="8"/>
        <v>26.824999999999999</v>
      </c>
      <c r="T27">
        <f t="shared" si="9"/>
        <v>59.35</v>
      </c>
      <c r="U27">
        <f t="shared" si="10"/>
        <v>19.787769791801534</v>
      </c>
      <c r="V27">
        <f t="shared" si="11"/>
        <v>2.4748737341529163</v>
      </c>
    </row>
    <row r="28" spans="1:22" x14ac:dyDescent="0.2">
      <c r="A28" s="60">
        <v>9</v>
      </c>
      <c r="B28" s="60">
        <v>45.7</v>
      </c>
      <c r="C28" s="61">
        <v>32.9</v>
      </c>
      <c r="D28" s="62">
        <v>62.1</v>
      </c>
      <c r="E28" s="62">
        <v>30.2</v>
      </c>
      <c r="F28" s="63">
        <v>33.4</v>
      </c>
      <c r="G28" s="63">
        <v>62.3</v>
      </c>
      <c r="H28" s="59">
        <f t="shared" si="4"/>
        <v>42.724999999999994</v>
      </c>
      <c r="I28" s="59">
        <f t="shared" si="5"/>
        <v>47.849999999999994</v>
      </c>
      <c r="J28" s="59">
        <f t="shared" si="6"/>
        <v>14.579066042331631</v>
      </c>
      <c r="K28" s="59">
        <f t="shared" si="7"/>
        <v>20.435385976291236</v>
      </c>
      <c r="L28">
        <v>9</v>
      </c>
      <c r="M28" s="25">
        <v>11.4</v>
      </c>
      <c r="N28" s="27">
        <v>13.9</v>
      </c>
      <c r="O28" s="25">
        <v>57.3</v>
      </c>
      <c r="P28" s="25">
        <v>40.4</v>
      </c>
      <c r="Q28" s="38">
        <v>62.3</v>
      </c>
      <c r="R28" s="38">
        <v>61.9</v>
      </c>
      <c r="S28">
        <f t="shared" si="8"/>
        <v>30.75</v>
      </c>
      <c r="T28">
        <f t="shared" si="9"/>
        <v>62.099999999999994</v>
      </c>
      <c r="U28">
        <f t="shared" si="10"/>
        <v>22.033081188673233</v>
      </c>
      <c r="V28">
        <f t="shared" si="11"/>
        <v>0.28284271247461801</v>
      </c>
    </row>
    <row r="29" spans="1:22" x14ac:dyDescent="0.2">
      <c r="A29" s="60">
        <v>10</v>
      </c>
      <c r="B29" s="60">
        <v>49.1</v>
      </c>
      <c r="C29" s="61">
        <v>38.5</v>
      </c>
      <c r="D29" s="62">
        <v>68.3</v>
      </c>
      <c r="E29" s="62">
        <v>31.5</v>
      </c>
      <c r="F29" s="63">
        <v>36.9</v>
      </c>
      <c r="G29" s="63">
        <v>62.8</v>
      </c>
      <c r="H29" s="59">
        <f t="shared" si="4"/>
        <v>46.849999999999994</v>
      </c>
      <c r="I29" s="59">
        <f t="shared" si="5"/>
        <v>49.849999999999994</v>
      </c>
      <c r="J29" s="59">
        <f t="shared" si="6"/>
        <v>16.026124505527427</v>
      </c>
      <c r="K29" s="59">
        <f t="shared" si="7"/>
        <v>18.314065632731598</v>
      </c>
      <c r="L29">
        <v>10</v>
      </c>
      <c r="M29" s="25">
        <v>12.3</v>
      </c>
      <c r="N29" s="27">
        <v>12.3</v>
      </c>
      <c r="O29" s="25">
        <v>62.6</v>
      </c>
      <c r="P29" s="25">
        <v>43.5</v>
      </c>
      <c r="Q29" s="38">
        <v>63.1</v>
      </c>
      <c r="R29" s="38">
        <v>62.5</v>
      </c>
      <c r="S29">
        <f t="shared" si="8"/>
        <v>32.674999999999997</v>
      </c>
      <c r="T29">
        <f t="shared" si="9"/>
        <v>62.8</v>
      </c>
      <c r="U29">
        <f t="shared" si="10"/>
        <v>24.785530052835266</v>
      </c>
      <c r="V29">
        <f t="shared" si="11"/>
        <v>0.42426406871192951</v>
      </c>
    </row>
    <row r="30" spans="1:22" x14ac:dyDescent="0.2">
      <c r="A30" s="60">
        <v>11</v>
      </c>
      <c r="B30" s="60">
        <v>53.9</v>
      </c>
      <c r="C30" s="61">
        <v>41.8</v>
      </c>
      <c r="D30" s="62">
        <v>70.2</v>
      </c>
      <c r="E30" s="62">
        <v>35.299999999999997</v>
      </c>
      <c r="F30" s="63">
        <v>36.9</v>
      </c>
      <c r="G30" s="66">
        <v>63.1</v>
      </c>
      <c r="H30" s="59">
        <f t="shared" si="4"/>
        <v>50.3</v>
      </c>
      <c r="I30" s="59">
        <f t="shared" si="5"/>
        <v>50</v>
      </c>
      <c r="J30" s="59">
        <f t="shared" si="6"/>
        <v>15.342967987539668</v>
      </c>
      <c r="K30" s="59">
        <f t="shared" si="7"/>
        <v>18.526197667087551</v>
      </c>
      <c r="L30">
        <v>11</v>
      </c>
      <c r="M30" s="25">
        <v>13.9</v>
      </c>
      <c r="N30" s="27">
        <v>15.4</v>
      </c>
      <c r="O30" s="25">
        <v>64.599999999999994</v>
      </c>
      <c r="P30" s="25">
        <v>46.4</v>
      </c>
      <c r="Q30" s="38">
        <v>63.1</v>
      </c>
      <c r="R30" s="40">
        <v>62.9</v>
      </c>
      <c r="S30">
        <f t="shared" si="8"/>
        <v>35.074999999999996</v>
      </c>
      <c r="T30">
        <f t="shared" si="9"/>
        <v>63</v>
      </c>
      <c r="U30">
        <f t="shared" si="10"/>
        <v>24.7350459874244</v>
      </c>
      <c r="V30">
        <f t="shared" si="11"/>
        <v>0.14142135623731153</v>
      </c>
    </row>
    <row r="31" spans="1:22" x14ac:dyDescent="0.2">
      <c r="A31" s="60">
        <v>12</v>
      </c>
      <c r="B31" s="60">
        <v>55.3</v>
      </c>
      <c r="C31" s="61">
        <v>44.5</v>
      </c>
      <c r="D31" s="62">
        <v>76.599999999999994</v>
      </c>
      <c r="E31" s="62">
        <v>39.9</v>
      </c>
      <c r="F31" s="63">
        <v>37.6</v>
      </c>
      <c r="G31" s="63">
        <v>61.2</v>
      </c>
      <c r="H31" s="59">
        <f t="shared" si="4"/>
        <v>54.074999999999996</v>
      </c>
      <c r="I31" s="59">
        <f t="shared" si="5"/>
        <v>49.400000000000006</v>
      </c>
      <c r="J31" s="59">
        <f t="shared" si="6"/>
        <v>16.345106301275631</v>
      </c>
      <c r="K31" s="59">
        <f t="shared" si="7"/>
        <v>16.68772003600251</v>
      </c>
      <c r="L31">
        <v>12</v>
      </c>
      <c r="M31" s="25">
        <v>15.1</v>
      </c>
      <c r="N31" s="27">
        <v>17.899999999999999</v>
      </c>
      <c r="O31" s="25">
        <v>68.900000000000006</v>
      </c>
      <c r="P31" s="25">
        <v>47</v>
      </c>
      <c r="Q31" s="38">
        <v>67.5</v>
      </c>
      <c r="R31" s="38">
        <v>63.2</v>
      </c>
      <c r="S31">
        <f t="shared" si="8"/>
        <v>37.225000000000001</v>
      </c>
      <c r="T31">
        <f t="shared" si="9"/>
        <v>65.349999999999994</v>
      </c>
      <c r="U31">
        <f t="shared" si="10"/>
        <v>25.57229946641483</v>
      </c>
      <c r="V31">
        <f t="shared" si="11"/>
        <v>3.0405591591021524</v>
      </c>
    </row>
    <row r="32" spans="1:22" x14ac:dyDescent="0.2">
      <c r="A32" s="60">
        <v>13</v>
      </c>
      <c r="B32" s="60">
        <v>58.2</v>
      </c>
      <c r="C32" s="61">
        <v>46.3</v>
      </c>
      <c r="D32" s="62">
        <v>75.599999999999994</v>
      </c>
      <c r="E32" s="62">
        <v>42.5</v>
      </c>
      <c r="F32" s="63">
        <v>38.6</v>
      </c>
      <c r="G32" s="63">
        <v>62.4</v>
      </c>
      <c r="H32" s="59">
        <f t="shared" si="4"/>
        <v>55.65</v>
      </c>
      <c r="I32" s="59">
        <f t="shared" si="5"/>
        <v>50.5</v>
      </c>
      <c r="J32" s="59">
        <f t="shared" si="6"/>
        <v>14.886795043482891</v>
      </c>
      <c r="K32" s="59">
        <f t="shared" si="7"/>
        <v>16.829141392239812</v>
      </c>
      <c r="L32">
        <v>13</v>
      </c>
      <c r="M32" s="25">
        <v>17.899999999999999</v>
      </c>
      <c r="N32" s="27">
        <v>19.2</v>
      </c>
      <c r="O32" s="25">
        <v>70.099999999999994</v>
      </c>
      <c r="P32" s="25">
        <v>52.5</v>
      </c>
      <c r="Q32" s="38">
        <v>67.8</v>
      </c>
      <c r="R32" s="38">
        <v>63.9</v>
      </c>
      <c r="S32">
        <f t="shared" si="8"/>
        <v>39.924999999999997</v>
      </c>
      <c r="T32">
        <f t="shared" si="9"/>
        <v>65.849999999999994</v>
      </c>
      <c r="U32">
        <f t="shared" si="10"/>
        <v>25.711783939146141</v>
      </c>
      <c r="V32">
        <f t="shared" si="11"/>
        <v>2.7577164466275343</v>
      </c>
    </row>
    <row r="33" spans="1:22" x14ac:dyDescent="0.2">
      <c r="A33" s="60">
        <v>14</v>
      </c>
      <c r="B33" s="60">
        <v>59.2</v>
      </c>
      <c r="C33" s="61">
        <v>51.2</v>
      </c>
      <c r="D33" s="62">
        <v>78.2</v>
      </c>
      <c r="E33" s="62">
        <v>47.3</v>
      </c>
      <c r="F33" s="63">
        <v>38.6</v>
      </c>
      <c r="G33" s="63">
        <v>64.599999999999994</v>
      </c>
      <c r="H33" s="59">
        <f t="shared" si="4"/>
        <v>58.975000000000009</v>
      </c>
      <c r="I33" s="59">
        <f t="shared" si="5"/>
        <v>51.599999999999994</v>
      </c>
      <c r="J33" s="59">
        <f t="shared" si="6"/>
        <v>13.740542201820078</v>
      </c>
      <c r="K33" s="59">
        <f t="shared" si="7"/>
        <v>18.384776310850235</v>
      </c>
      <c r="L33">
        <v>14</v>
      </c>
      <c r="M33" s="25">
        <v>19.399999999999999</v>
      </c>
      <c r="N33" s="27">
        <v>21.6</v>
      </c>
      <c r="O33" s="25">
        <v>72.400000000000006</v>
      </c>
      <c r="P33" s="25">
        <v>54.9</v>
      </c>
      <c r="Q33" s="38">
        <v>67.3</v>
      </c>
      <c r="R33" s="38">
        <v>64.5</v>
      </c>
      <c r="S33">
        <f t="shared" si="8"/>
        <v>42.075000000000003</v>
      </c>
      <c r="T33">
        <f t="shared" si="9"/>
        <v>65.900000000000006</v>
      </c>
      <c r="U33">
        <f t="shared" si="10"/>
        <v>25.93239608417754</v>
      </c>
      <c r="V33">
        <f t="shared" si="11"/>
        <v>1.9798989873223309</v>
      </c>
    </row>
    <row r="34" spans="1:22" x14ac:dyDescent="0.2">
      <c r="A34" s="60">
        <v>15</v>
      </c>
      <c r="B34" s="60">
        <v>60.2</v>
      </c>
      <c r="C34" s="61">
        <v>54</v>
      </c>
      <c r="D34" s="62">
        <v>78.099999999999994</v>
      </c>
      <c r="E34" s="62">
        <v>50.1</v>
      </c>
      <c r="F34" s="63">
        <v>43</v>
      </c>
      <c r="G34" s="63">
        <v>63.5</v>
      </c>
      <c r="H34" s="59">
        <f t="shared" si="4"/>
        <v>60.6</v>
      </c>
      <c r="I34" s="59">
        <f t="shared" si="5"/>
        <v>53.25</v>
      </c>
      <c r="J34" s="59">
        <f t="shared" si="6"/>
        <v>12.385744493839134</v>
      </c>
      <c r="K34" s="59">
        <f t="shared" si="7"/>
        <v>14.495689014324224</v>
      </c>
      <c r="L34">
        <v>15</v>
      </c>
      <c r="M34" s="34">
        <v>21</v>
      </c>
      <c r="N34" s="36">
        <v>31.2</v>
      </c>
      <c r="O34" s="25">
        <v>71.599999999999994</v>
      </c>
      <c r="P34" s="25">
        <v>56.5</v>
      </c>
      <c r="Q34" s="38">
        <v>67.099999999999994</v>
      </c>
      <c r="R34" s="38">
        <v>65.7</v>
      </c>
      <c r="S34">
        <f t="shared" si="8"/>
        <v>45.075000000000003</v>
      </c>
      <c r="T34">
        <f t="shared" si="9"/>
        <v>66.400000000000006</v>
      </c>
      <c r="U34">
        <f t="shared" si="10"/>
        <v>23.138910230749122</v>
      </c>
      <c r="V34">
        <f t="shared" si="11"/>
        <v>0.98994949366116047</v>
      </c>
    </row>
    <row r="35" spans="1:22" x14ac:dyDescent="0.2">
      <c r="A35" s="60">
        <v>16</v>
      </c>
      <c r="B35" s="60">
        <v>62.1</v>
      </c>
      <c r="C35" s="61">
        <v>62.1</v>
      </c>
      <c r="D35" s="62">
        <v>77.400000000000006</v>
      </c>
      <c r="E35" s="62">
        <v>53.5</v>
      </c>
      <c r="F35" s="63">
        <v>45</v>
      </c>
      <c r="G35" s="63">
        <v>62.5</v>
      </c>
      <c r="H35" s="59">
        <f t="shared" si="4"/>
        <v>63.775000000000006</v>
      </c>
      <c r="I35" s="59">
        <f t="shared" si="5"/>
        <v>53.75</v>
      </c>
      <c r="J35" s="59">
        <f t="shared" si="6"/>
        <v>9.9469844676665602</v>
      </c>
      <c r="K35" s="59">
        <f t="shared" si="7"/>
        <v>12.374368670764582</v>
      </c>
      <c r="L35">
        <v>16</v>
      </c>
      <c r="M35" s="25">
        <v>21.9</v>
      </c>
      <c r="N35" s="27">
        <v>42.7</v>
      </c>
      <c r="O35" s="1">
        <v>75.599999999999994</v>
      </c>
      <c r="P35" s="25">
        <v>58.4</v>
      </c>
      <c r="Q35" s="38">
        <v>67.7</v>
      </c>
      <c r="R35" s="38">
        <v>66.900000000000006</v>
      </c>
      <c r="S35">
        <f t="shared" si="8"/>
        <v>49.65</v>
      </c>
      <c r="T35">
        <f t="shared" si="9"/>
        <v>67.300000000000011</v>
      </c>
      <c r="U35">
        <f t="shared" si="10"/>
        <v>22.864309888266167</v>
      </c>
      <c r="V35">
        <f t="shared" si="11"/>
        <v>0.56568542494923602</v>
      </c>
    </row>
    <row r="36" spans="1:22" x14ac:dyDescent="0.2">
      <c r="A36" s="60">
        <v>17</v>
      </c>
      <c r="B36" s="60">
        <v>62.5</v>
      </c>
      <c r="C36" s="61">
        <v>65.599999999999994</v>
      </c>
      <c r="D36" s="62">
        <v>75.7</v>
      </c>
      <c r="E36" s="62">
        <v>57.2</v>
      </c>
      <c r="F36" s="63">
        <v>47.1</v>
      </c>
      <c r="G36" s="63">
        <v>59.2</v>
      </c>
      <c r="H36" s="59">
        <f t="shared" si="4"/>
        <v>65.25</v>
      </c>
      <c r="I36" s="59">
        <f t="shared" si="5"/>
        <v>53.150000000000006</v>
      </c>
      <c r="J36" s="59">
        <f t="shared" si="6"/>
        <v>7.7822447489997453</v>
      </c>
      <c r="K36" s="59">
        <f t="shared" si="7"/>
        <v>8.5559920523572206</v>
      </c>
      <c r="L36">
        <v>17</v>
      </c>
      <c r="M36" s="25">
        <v>22.5</v>
      </c>
      <c r="N36" s="27">
        <v>54.1</v>
      </c>
      <c r="O36" s="1">
        <v>76.7</v>
      </c>
      <c r="P36" s="25">
        <v>60.9</v>
      </c>
      <c r="Q36" s="38">
        <v>68.099999999999994</v>
      </c>
      <c r="R36" s="38">
        <v>67.099999999999994</v>
      </c>
      <c r="S36">
        <f t="shared" si="8"/>
        <v>53.550000000000004</v>
      </c>
      <c r="T36">
        <f t="shared" si="9"/>
        <v>67.599999999999994</v>
      </c>
      <c r="U36">
        <f t="shared" si="10"/>
        <v>22.76217622870595</v>
      </c>
      <c r="V36">
        <f t="shared" si="11"/>
        <v>0.70710678118654757</v>
      </c>
    </row>
    <row r="37" spans="1:22" x14ac:dyDescent="0.2">
      <c r="A37" s="60">
        <v>18</v>
      </c>
      <c r="B37" s="60">
        <v>62.9</v>
      </c>
      <c r="C37" s="61">
        <v>68.400000000000006</v>
      </c>
      <c r="D37" s="62">
        <v>74.400000000000006</v>
      </c>
      <c r="E37" s="62">
        <v>62.1</v>
      </c>
      <c r="F37" s="63">
        <v>47.1</v>
      </c>
      <c r="G37" s="66">
        <v>58.5</v>
      </c>
      <c r="H37" s="59">
        <f t="shared" si="4"/>
        <v>66.95</v>
      </c>
      <c r="I37" s="59">
        <f t="shared" si="5"/>
        <v>52.8</v>
      </c>
      <c r="J37" s="59">
        <f t="shared" si="6"/>
        <v>5.7017541160593748</v>
      </c>
      <c r="K37" s="59">
        <f t="shared" si="7"/>
        <v>8.0610173055266703</v>
      </c>
      <c r="L37">
        <v>18</v>
      </c>
      <c r="M37" s="25">
        <v>24.7</v>
      </c>
      <c r="N37" s="27">
        <v>59.4</v>
      </c>
      <c r="O37" s="1">
        <v>75.3</v>
      </c>
      <c r="P37" s="25">
        <v>68.2</v>
      </c>
      <c r="Q37" s="38">
        <v>68.099999999999994</v>
      </c>
      <c r="R37" s="40">
        <v>68.3</v>
      </c>
      <c r="S37">
        <f t="shared" si="8"/>
        <v>56.899999999999991</v>
      </c>
      <c r="T37">
        <f t="shared" si="9"/>
        <v>68.199999999999989</v>
      </c>
      <c r="U37">
        <f t="shared" si="10"/>
        <v>22.430187991484466</v>
      </c>
      <c r="V37">
        <f t="shared" si="11"/>
        <v>0.14142135623731153</v>
      </c>
    </row>
    <row r="38" spans="1:22" x14ac:dyDescent="0.2">
      <c r="A38" s="60">
        <v>19</v>
      </c>
      <c r="B38" s="60">
        <v>63.3</v>
      </c>
      <c r="C38" s="61">
        <v>70.099999999999994</v>
      </c>
      <c r="D38" s="62">
        <v>70.5</v>
      </c>
      <c r="E38" s="61">
        <v>64.599999999999994</v>
      </c>
      <c r="F38" s="63">
        <v>48.5</v>
      </c>
      <c r="G38" s="63">
        <v>54.2</v>
      </c>
      <c r="H38" s="59">
        <f t="shared" si="4"/>
        <v>67.125</v>
      </c>
      <c r="I38" s="59">
        <f t="shared" si="5"/>
        <v>51.35</v>
      </c>
      <c r="J38" s="59">
        <f t="shared" si="6"/>
        <v>3.7079868752015117</v>
      </c>
      <c r="K38" s="59">
        <f t="shared" si="7"/>
        <v>4.0305086527633227</v>
      </c>
      <c r="L38">
        <v>19</v>
      </c>
      <c r="M38" s="34">
        <v>25</v>
      </c>
      <c r="N38" s="27">
        <v>60.1</v>
      </c>
      <c r="O38" s="1">
        <v>73.5</v>
      </c>
      <c r="P38" s="27">
        <v>70.3</v>
      </c>
      <c r="Q38" s="38">
        <v>67.8</v>
      </c>
      <c r="R38" s="38">
        <v>66.3</v>
      </c>
      <c r="S38">
        <f t="shared" si="8"/>
        <v>57.224999999999994</v>
      </c>
      <c r="T38">
        <f t="shared" si="9"/>
        <v>67.05</v>
      </c>
      <c r="U38">
        <f t="shared" si="10"/>
        <v>22.230215923377806</v>
      </c>
      <c r="V38">
        <f t="shared" si="11"/>
        <v>1.0606601717798212</v>
      </c>
    </row>
    <row r="39" spans="1:22" ht="17" thickBot="1" x14ac:dyDescent="0.25">
      <c r="A39" s="60">
        <v>20</v>
      </c>
      <c r="B39" s="60">
        <v>63.7</v>
      </c>
      <c r="C39" s="61">
        <v>77.400000000000006</v>
      </c>
      <c r="D39" s="62">
        <v>70.099999999999994</v>
      </c>
      <c r="E39" s="61">
        <v>68.400000000000006</v>
      </c>
      <c r="F39" s="63">
        <v>51.8</v>
      </c>
      <c r="G39" s="63">
        <v>52.1</v>
      </c>
      <c r="H39" s="59">
        <f t="shared" si="4"/>
        <v>69.900000000000006</v>
      </c>
      <c r="I39" s="59">
        <f t="shared" si="5"/>
        <v>51.95</v>
      </c>
      <c r="J39" s="59">
        <f t="shared" si="6"/>
        <v>5.6856544624754219</v>
      </c>
      <c r="K39" s="59">
        <f t="shared" si="7"/>
        <v>0.21213203435596725</v>
      </c>
      <c r="L39">
        <v>20</v>
      </c>
      <c r="M39" s="35">
        <v>27</v>
      </c>
      <c r="N39" s="36">
        <v>60.3</v>
      </c>
      <c r="O39" s="1">
        <v>76.599999999999994</v>
      </c>
      <c r="P39" s="27">
        <v>69.099999999999994</v>
      </c>
      <c r="Q39" s="38">
        <v>67.3</v>
      </c>
      <c r="R39" s="38">
        <v>65.2</v>
      </c>
      <c r="S39">
        <f t="shared" si="8"/>
        <v>58.249999999999993</v>
      </c>
      <c r="T39">
        <f t="shared" si="9"/>
        <v>66.25</v>
      </c>
      <c r="U39">
        <f t="shared" si="10"/>
        <v>21.872433182737907</v>
      </c>
      <c r="V39">
        <f t="shared" si="11"/>
        <v>1.4849242404917458</v>
      </c>
    </row>
    <row r="40" spans="1:22" x14ac:dyDescent="0.2">
      <c r="A40" s="60">
        <v>21</v>
      </c>
      <c r="B40" s="61"/>
      <c r="C40" s="61">
        <v>79.099999999999994</v>
      </c>
      <c r="D40" s="62">
        <v>69.099999999999994</v>
      </c>
      <c r="E40" s="61">
        <v>67.099999999999994</v>
      </c>
      <c r="F40" s="63">
        <v>55</v>
      </c>
      <c r="G40" s="63">
        <v>53.2</v>
      </c>
      <c r="H40" s="59">
        <f t="shared" si="4"/>
        <v>71.766666666666666</v>
      </c>
      <c r="I40" s="59">
        <f t="shared" si="5"/>
        <v>54.1</v>
      </c>
      <c r="J40" s="59">
        <f t="shared" si="6"/>
        <v>6.429100507328636</v>
      </c>
      <c r="K40" s="59">
        <f t="shared" si="7"/>
        <v>1.2727922061357835</v>
      </c>
      <c r="L40">
        <v>21</v>
      </c>
      <c r="M40" s="27"/>
      <c r="N40" s="27">
        <v>64.099999999999994</v>
      </c>
      <c r="O40" s="25">
        <v>75.400000000000006</v>
      </c>
      <c r="P40" s="27">
        <v>69.3</v>
      </c>
      <c r="Q40" s="38">
        <v>67.099999999999994</v>
      </c>
      <c r="R40" s="38">
        <v>66.099999999999994</v>
      </c>
      <c r="S40">
        <f t="shared" si="8"/>
        <v>69.600000000000009</v>
      </c>
      <c r="T40">
        <f t="shared" si="9"/>
        <v>66.599999999999994</v>
      </c>
      <c r="U40">
        <f t="shared" si="10"/>
        <v>5.6559702969517138</v>
      </c>
      <c r="V40">
        <f t="shared" si="11"/>
        <v>0.70710678118654757</v>
      </c>
    </row>
    <row r="41" spans="1:22" x14ac:dyDescent="0.2">
      <c r="A41" s="60">
        <v>22</v>
      </c>
      <c r="B41" s="61"/>
      <c r="C41" s="61">
        <v>79.2</v>
      </c>
      <c r="D41" s="62">
        <v>65.7</v>
      </c>
      <c r="E41" s="61">
        <v>68.099999999999994</v>
      </c>
      <c r="F41" s="66">
        <v>59</v>
      </c>
      <c r="G41" s="66">
        <v>54.9</v>
      </c>
      <c r="H41" s="59">
        <f t="shared" si="4"/>
        <v>71</v>
      </c>
      <c r="I41" s="59">
        <f t="shared" si="5"/>
        <v>56.95</v>
      </c>
      <c r="J41" s="59">
        <f t="shared" si="6"/>
        <v>7.2020830320123377</v>
      </c>
      <c r="K41" s="59">
        <f t="shared" si="7"/>
        <v>2.8991378028648458</v>
      </c>
      <c r="L41">
        <v>22</v>
      </c>
      <c r="M41" s="27"/>
      <c r="N41" s="27">
        <v>68.400000000000006</v>
      </c>
      <c r="O41" s="25">
        <v>74.599999999999994</v>
      </c>
      <c r="P41" s="27">
        <v>68.8</v>
      </c>
      <c r="Q41" s="38">
        <v>66.8</v>
      </c>
      <c r="R41" s="40">
        <v>63.3</v>
      </c>
      <c r="S41">
        <f t="shared" si="8"/>
        <v>70.600000000000009</v>
      </c>
      <c r="T41">
        <f t="shared" si="9"/>
        <v>65.05</v>
      </c>
      <c r="U41">
        <f t="shared" si="10"/>
        <v>3.4698703145794898</v>
      </c>
      <c r="V41">
        <f t="shared" si="11"/>
        <v>2.4748737341529163</v>
      </c>
    </row>
    <row r="42" spans="1:22" x14ac:dyDescent="0.2">
      <c r="A42" s="60">
        <v>23</v>
      </c>
      <c r="B42" s="61"/>
      <c r="C42" s="61">
        <v>76.5</v>
      </c>
      <c r="D42" s="62">
        <v>63.6</v>
      </c>
      <c r="E42" s="61">
        <v>66.900000000000006</v>
      </c>
      <c r="F42" s="63">
        <v>61</v>
      </c>
      <c r="G42" s="63">
        <v>42.5</v>
      </c>
      <c r="H42" s="59">
        <f t="shared" si="4"/>
        <v>69</v>
      </c>
      <c r="I42" s="59">
        <f t="shared" si="5"/>
        <v>51.75</v>
      </c>
      <c r="J42" s="59">
        <f t="shared" si="6"/>
        <v>6.7014923711066015</v>
      </c>
      <c r="K42" s="59">
        <f t="shared" si="7"/>
        <v>13.08147545195113</v>
      </c>
      <c r="L42">
        <v>23</v>
      </c>
      <c r="M42" s="27"/>
      <c r="N42" s="27">
        <v>76.2</v>
      </c>
      <c r="O42" s="25">
        <v>70.099999999999994</v>
      </c>
      <c r="P42" s="27">
        <v>67.900000000000006</v>
      </c>
      <c r="Q42" s="38">
        <v>66.900000000000006</v>
      </c>
      <c r="R42" s="38">
        <v>62.5</v>
      </c>
      <c r="S42">
        <f t="shared" si="8"/>
        <v>71.400000000000006</v>
      </c>
      <c r="T42">
        <f t="shared" si="9"/>
        <v>64.7</v>
      </c>
      <c r="U42">
        <f t="shared" si="10"/>
        <v>4.3</v>
      </c>
      <c r="V42">
        <f t="shared" si="11"/>
        <v>3.1112698372208132</v>
      </c>
    </row>
    <row r="43" spans="1:22" x14ac:dyDescent="0.2">
      <c r="A43" s="60">
        <v>24</v>
      </c>
      <c r="B43" s="61"/>
      <c r="C43" s="61">
        <v>72.8</v>
      </c>
      <c r="D43" s="62">
        <v>62.4</v>
      </c>
      <c r="E43" s="61">
        <v>66.8</v>
      </c>
      <c r="F43" s="63">
        <v>60</v>
      </c>
      <c r="G43" s="63">
        <v>49.2</v>
      </c>
      <c r="H43" s="59">
        <f t="shared" si="4"/>
        <v>67.333333333333329</v>
      </c>
      <c r="I43" s="59">
        <f t="shared" si="5"/>
        <v>54.6</v>
      </c>
      <c r="J43" s="59">
        <f t="shared" si="6"/>
        <v>5.220472520120504</v>
      </c>
      <c r="K43" s="59">
        <f t="shared" si="7"/>
        <v>7.6367532368147115</v>
      </c>
      <c r="L43">
        <v>24</v>
      </c>
      <c r="M43" s="27"/>
      <c r="N43" s="27">
        <v>71.099999999999994</v>
      </c>
      <c r="O43" s="25">
        <v>68.099999999999994</v>
      </c>
      <c r="P43" s="27">
        <v>67.400000000000006</v>
      </c>
      <c r="Q43" s="38">
        <v>66.400000000000006</v>
      </c>
      <c r="R43" s="38">
        <v>61.4</v>
      </c>
      <c r="S43">
        <f t="shared" si="8"/>
        <v>68.86666666666666</v>
      </c>
      <c r="T43">
        <f t="shared" si="9"/>
        <v>63.900000000000006</v>
      </c>
      <c r="U43">
        <f t="shared" si="10"/>
        <v>1.9655363983740715</v>
      </c>
      <c r="V43">
        <f t="shared" si="11"/>
        <v>3.5355339059327426</v>
      </c>
    </row>
    <row r="44" spans="1:22" ht="17" thickBot="1" x14ac:dyDescent="0.25">
      <c r="A44" s="60">
        <v>25</v>
      </c>
      <c r="B44" s="61"/>
      <c r="C44" s="61">
        <v>69.2</v>
      </c>
      <c r="D44" s="62">
        <v>61.7</v>
      </c>
      <c r="E44" s="61">
        <v>66.2</v>
      </c>
      <c r="F44" s="63">
        <v>58</v>
      </c>
      <c r="G44" s="63">
        <v>36.5</v>
      </c>
      <c r="H44" s="59">
        <f t="shared" si="4"/>
        <v>65.7</v>
      </c>
      <c r="I44" s="59">
        <f t="shared" si="5"/>
        <v>47.25</v>
      </c>
      <c r="J44" s="59">
        <f t="shared" si="6"/>
        <v>3.7749172176353749</v>
      </c>
      <c r="K44" s="59">
        <f t="shared" si="7"/>
        <v>15.202795795510772</v>
      </c>
      <c r="L44">
        <v>25</v>
      </c>
      <c r="M44" s="28"/>
      <c r="N44" s="28">
        <v>68.400000000000006</v>
      </c>
      <c r="O44" s="1">
        <v>67.599999999999994</v>
      </c>
      <c r="P44" s="28">
        <v>68.5</v>
      </c>
      <c r="Q44" s="38">
        <v>65.400000000000006</v>
      </c>
      <c r="R44" s="38">
        <v>60</v>
      </c>
      <c r="S44">
        <f t="shared" si="8"/>
        <v>68.166666666666671</v>
      </c>
      <c r="T44">
        <f t="shared" si="9"/>
        <v>62.7</v>
      </c>
      <c r="U44">
        <f t="shared" si="10"/>
        <v>0.49328828623162935</v>
      </c>
      <c r="V44">
        <f t="shared" si="11"/>
        <v>3.8183766184073606</v>
      </c>
    </row>
    <row r="45" spans="1:22" x14ac:dyDescent="0.2">
      <c r="B45">
        <f>AVERAGE(B20:B39)</f>
        <v>46.6</v>
      </c>
      <c r="C45">
        <f>AVERAGE(C20:C44)</f>
        <v>46.280000000000008</v>
      </c>
      <c r="D45">
        <f>AVERAGE(D20:D44)</f>
        <v>59.02</v>
      </c>
      <c r="E45">
        <f t="shared" ref="E45:G45" si="12">AVERAGE(E20:E44)</f>
        <v>39.015999999999998</v>
      </c>
      <c r="F45">
        <f t="shared" si="12"/>
        <v>36.984000000000002</v>
      </c>
      <c r="G45">
        <f t="shared" si="12"/>
        <v>50.468000000000011</v>
      </c>
      <c r="M45">
        <f>AVERAGE(M20:M39)</f>
        <v>13.330000000000002</v>
      </c>
      <c r="N45">
        <f>AVERAGE(N20:N44)</f>
        <v>32.224000000000004</v>
      </c>
      <c r="O45" s="25">
        <f>AVERAGE(O20:O44)</f>
        <v>58.623999999999988</v>
      </c>
      <c r="P45">
        <f>AVERAGE(P20:P44)</f>
        <v>43.863999999999997</v>
      </c>
      <c r="Q45">
        <f t="shared" ref="Q45:R45" si="13">AVERAGE(Q20:Q44)</f>
        <v>56.744000000000007</v>
      </c>
      <c r="R45">
        <f t="shared" si="13"/>
        <v>54.851999999999997</v>
      </c>
    </row>
    <row r="46" spans="1:22" x14ac:dyDescent="0.2">
      <c r="G46" s="25"/>
      <c r="H46">
        <f>AVERAGE(B45:E45)</f>
        <v>47.728999999999999</v>
      </c>
      <c r="I46">
        <f>AVERAGE(F45:G45)</f>
        <v>43.726000000000006</v>
      </c>
    </row>
    <row r="47" spans="1:22" x14ac:dyDescent="0.2">
      <c r="G47" s="25"/>
      <c r="H47">
        <f>AVERAGE(M45:P45)</f>
        <v>37.0105</v>
      </c>
      <c r="I47">
        <f>AVERAGE(Q45:R45)</f>
        <v>55.798000000000002</v>
      </c>
    </row>
    <row r="48" spans="1:22" x14ac:dyDescent="0.2">
      <c r="G48" s="25"/>
    </row>
    <row r="49" spans="1:31" x14ac:dyDescent="0.2">
      <c r="B49" s="68" t="s">
        <v>26</v>
      </c>
      <c r="C49" s="68"/>
      <c r="D49" s="68"/>
      <c r="E49" s="68"/>
      <c r="M49" s="68" t="s">
        <v>27</v>
      </c>
      <c r="N49" s="68"/>
      <c r="O49" s="68"/>
      <c r="P49" s="68"/>
    </row>
    <row r="50" spans="1:31" ht="17" thickBot="1" x14ac:dyDescent="0.25">
      <c r="D50" t="s">
        <v>18</v>
      </c>
      <c r="E50" t="s">
        <v>19</v>
      </c>
      <c r="F50" t="s">
        <v>18</v>
      </c>
      <c r="G50" t="s">
        <v>19</v>
      </c>
      <c r="O50" t="s">
        <v>18</v>
      </c>
      <c r="P50" t="s">
        <v>19</v>
      </c>
      <c r="Q50" t="s">
        <v>18</v>
      </c>
      <c r="R50" t="s">
        <v>19</v>
      </c>
      <c r="U50" t="s">
        <v>32</v>
      </c>
      <c r="Z50" t="s">
        <v>43</v>
      </c>
    </row>
    <row r="51" spans="1:31" x14ac:dyDescent="0.2">
      <c r="C51">
        <v>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N51">
        <v>1</v>
      </c>
      <c r="O51">
        <v>110</v>
      </c>
      <c r="P51">
        <v>409</v>
      </c>
      <c r="Q51">
        <v>0</v>
      </c>
      <c r="R51">
        <v>0</v>
      </c>
      <c r="S51">
        <v>0</v>
      </c>
      <c r="T51">
        <v>0</v>
      </c>
      <c r="U51" s="44">
        <v>996</v>
      </c>
      <c r="V51">
        <v>0</v>
      </c>
      <c r="W51">
        <f>V51</f>
        <v>0</v>
      </c>
      <c r="Z51" t="s">
        <v>44</v>
      </c>
      <c r="AC51" t="s">
        <v>45</v>
      </c>
    </row>
    <row r="52" spans="1:31" x14ac:dyDescent="0.2">
      <c r="C52">
        <v>2</v>
      </c>
      <c r="D52">
        <v>110</v>
      </c>
      <c r="E52">
        <v>140</v>
      </c>
      <c r="F52">
        <v>10</v>
      </c>
      <c r="G52">
        <v>0</v>
      </c>
      <c r="H52">
        <f>H51+10</f>
        <v>10</v>
      </c>
      <c r="I52">
        <v>0</v>
      </c>
      <c r="N52">
        <v>2</v>
      </c>
      <c r="O52">
        <v>115</v>
      </c>
      <c r="P52">
        <v>415</v>
      </c>
      <c r="Q52">
        <v>5</v>
      </c>
      <c r="R52">
        <f>415-409</f>
        <v>6</v>
      </c>
      <c r="S52">
        <v>5</v>
      </c>
      <c r="T52">
        <v>6</v>
      </c>
      <c r="U52" s="45">
        <v>1024</v>
      </c>
      <c r="V52">
        <f>U52-U51</f>
        <v>28</v>
      </c>
      <c r="W52">
        <f>W51+V52</f>
        <v>28</v>
      </c>
      <c r="Z52" s="46">
        <v>759</v>
      </c>
      <c r="AA52">
        <v>0</v>
      </c>
      <c r="AB52">
        <v>0</v>
      </c>
      <c r="AC52" s="54">
        <v>1398</v>
      </c>
      <c r="AD52">
        <v>0</v>
      </c>
      <c r="AE52">
        <v>0</v>
      </c>
    </row>
    <row r="53" spans="1:31" x14ac:dyDescent="0.2">
      <c r="C53">
        <v>3</v>
      </c>
      <c r="D53">
        <v>110</v>
      </c>
      <c r="E53">
        <v>165</v>
      </c>
      <c r="F53">
        <v>0</v>
      </c>
      <c r="G53">
        <v>25</v>
      </c>
      <c r="H53">
        <v>10</v>
      </c>
      <c r="I53">
        <f>0+25</f>
        <v>25</v>
      </c>
      <c r="N53">
        <v>3</v>
      </c>
      <c r="O53">
        <v>120</v>
      </c>
      <c r="P53">
        <v>502</v>
      </c>
      <c r="Q53">
        <v>5</v>
      </c>
      <c r="R53">
        <f>502-415</f>
        <v>87</v>
      </c>
      <c r="S53">
        <v>10</v>
      </c>
      <c r="T53">
        <f>6+87</f>
        <v>93</v>
      </c>
      <c r="U53" s="46">
        <v>1034</v>
      </c>
      <c r="V53">
        <f>U53-U52</f>
        <v>10</v>
      </c>
      <c r="W53">
        <f>W52+V53</f>
        <v>38</v>
      </c>
      <c r="Z53" s="46">
        <v>784</v>
      </c>
      <c r="AA53">
        <f>Z53-Z52</f>
        <v>25</v>
      </c>
      <c r="AB53">
        <f>AA53+AB52</f>
        <v>25</v>
      </c>
      <c r="AC53" s="54">
        <v>1421</v>
      </c>
      <c r="AD53">
        <f>AC53-AC52</f>
        <v>23</v>
      </c>
      <c r="AE53">
        <f>AD53+AD52</f>
        <v>23</v>
      </c>
    </row>
    <row r="54" spans="1:31" x14ac:dyDescent="0.2">
      <c r="C54">
        <v>4</v>
      </c>
      <c r="D54">
        <v>110</v>
      </c>
      <c r="E54">
        <v>181</v>
      </c>
      <c r="F54">
        <v>0</v>
      </c>
      <c r="G54">
        <v>16</v>
      </c>
      <c r="H54">
        <v>10</v>
      </c>
      <c r="I54">
        <f>25+16</f>
        <v>41</v>
      </c>
      <c r="N54">
        <v>4</v>
      </c>
      <c r="O54">
        <v>150</v>
      </c>
      <c r="P54">
        <v>502</v>
      </c>
      <c r="Q54">
        <v>30</v>
      </c>
      <c r="R54">
        <v>0</v>
      </c>
      <c r="S54">
        <f>S53+Q54</f>
        <v>40</v>
      </c>
      <c r="T54">
        <v>93</v>
      </c>
      <c r="U54" s="46">
        <v>1076</v>
      </c>
      <c r="V54">
        <f t="shared" ref="V54:V74" si="14">U54-U53</f>
        <v>42</v>
      </c>
      <c r="W54">
        <f t="shared" ref="W54:W75" si="15">W53+V54</f>
        <v>80</v>
      </c>
      <c r="Y54" s="46"/>
      <c r="Z54" s="46">
        <v>792</v>
      </c>
      <c r="AA54">
        <f>Z54-Z53</f>
        <v>8</v>
      </c>
      <c r="AB54">
        <f>AA54+AB53</f>
        <v>33</v>
      </c>
      <c r="AC54" s="54">
        <v>1465</v>
      </c>
      <c r="AD54">
        <f>AC54-AC53</f>
        <v>44</v>
      </c>
      <c r="AE54">
        <f>AD54+AE53</f>
        <v>67</v>
      </c>
    </row>
    <row r="55" spans="1:31" x14ac:dyDescent="0.2">
      <c r="C55">
        <v>5</v>
      </c>
      <c r="D55">
        <v>110</v>
      </c>
      <c r="E55">
        <v>181</v>
      </c>
      <c r="F55">
        <v>0</v>
      </c>
      <c r="G55">
        <v>0</v>
      </c>
      <c r="H55">
        <v>10</v>
      </c>
      <c r="I55">
        <v>41</v>
      </c>
      <c r="N55">
        <v>5</v>
      </c>
      <c r="O55">
        <v>180</v>
      </c>
      <c r="P55">
        <v>504</v>
      </c>
      <c r="Q55">
        <v>30</v>
      </c>
      <c r="R55">
        <f>504-502</f>
        <v>2</v>
      </c>
      <c r="S55">
        <f>S54+Q55</f>
        <v>70</v>
      </c>
      <c r="T55">
        <v>95</v>
      </c>
      <c r="U55">
        <v>1093</v>
      </c>
      <c r="V55">
        <f>U55-U54</f>
        <v>17</v>
      </c>
      <c r="W55">
        <f t="shared" si="15"/>
        <v>97</v>
      </c>
      <c r="Y55" s="46"/>
      <c r="Z55" s="46">
        <v>810</v>
      </c>
      <c r="AA55">
        <f t="shared" ref="AA55:AA71" si="16">Z55-Z54</f>
        <v>18</v>
      </c>
      <c r="AB55">
        <f t="shared" ref="AB55:AB76" si="17">AA55+AB54</f>
        <v>51</v>
      </c>
      <c r="AC55" s="54">
        <v>1487</v>
      </c>
      <c r="AD55">
        <f t="shared" ref="AD55:AD76" si="18">AC55-AC54</f>
        <v>22</v>
      </c>
      <c r="AE55">
        <f>AD55+AE54</f>
        <v>89</v>
      </c>
    </row>
    <row r="56" spans="1:31" x14ac:dyDescent="0.2">
      <c r="C56">
        <v>6</v>
      </c>
      <c r="D56">
        <v>111</v>
      </c>
      <c r="E56">
        <v>181</v>
      </c>
      <c r="F56">
        <v>1</v>
      </c>
      <c r="G56">
        <v>0</v>
      </c>
      <c r="H56">
        <v>11</v>
      </c>
      <c r="I56">
        <v>41</v>
      </c>
      <c r="N56">
        <v>6</v>
      </c>
      <c r="O56">
        <v>215</v>
      </c>
      <c r="P56">
        <v>504</v>
      </c>
      <c r="Q56">
        <v>35</v>
      </c>
      <c r="R56">
        <v>0</v>
      </c>
      <c r="S56">
        <f>S55+Q56</f>
        <v>105</v>
      </c>
      <c r="T56">
        <v>95</v>
      </c>
      <c r="U56" s="46">
        <v>1132</v>
      </c>
      <c r="V56">
        <f t="shared" ref="V56:V60" si="19">U56-U55</f>
        <v>39</v>
      </c>
      <c r="W56">
        <f t="shared" si="15"/>
        <v>136</v>
      </c>
      <c r="Y56" s="46"/>
      <c r="Z56" s="46">
        <v>813</v>
      </c>
      <c r="AA56">
        <f t="shared" si="16"/>
        <v>3</v>
      </c>
      <c r="AB56">
        <f t="shared" si="17"/>
        <v>54</v>
      </c>
      <c r="AC56" s="54">
        <v>1515</v>
      </c>
      <c r="AD56">
        <f t="shared" si="18"/>
        <v>28</v>
      </c>
      <c r="AE56">
        <f t="shared" ref="AE56:AE76" si="20">AD56+AE55</f>
        <v>117</v>
      </c>
    </row>
    <row r="57" spans="1:31" x14ac:dyDescent="0.2">
      <c r="C57">
        <v>7</v>
      </c>
      <c r="D57">
        <v>11</v>
      </c>
      <c r="E57">
        <v>182</v>
      </c>
      <c r="F57">
        <v>1</v>
      </c>
      <c r="G57">
        <v>17</v>
      </c>
      <c r="H57">
        <v>12</v>
      </c>
      <c r="I57">
        <f>41+17</f>
        <v>58</v>
      </c>
      <c r="N57">
        <v>7</v>
      </c>
      <c r="O57">
        <v>227</v>
      </c>
      <c r="P57">
        <v>509</v>
      </c>
      <c r="Q57">
        <f>227-215</f>
        <v>12</v>
      </c>
      <c r="R57">
        <f>509-504</f>
        <v>5</v>
      </c>
      <c r="S57">
        <f>S56+Q57</f>
        <v>117</v>
      </c>
      <c r="T57">
        <v>100</v>
      </c>
      <c r="U57" s="46">
        <v>1165</v>
      </c>
      <c r="V57">
        <f t="shared" si="19"/>
        <v>33</v>
      </c>
      <c r="W57">
        <f t="shared" si="15"/>
        <v>169</v>
      </c>
      <c r="Z57" s="46">
        <v>823</v>
      </c>
      <c r="AA57">
        <f t="shared" si="16"/>
        <v>10</v>
      </c>
      <c r="AB57">
        <f t="shared" si="17"/>
        <v>64</v>
      </c>
      <c r="AC57" s="54">
        <v>1543</v>
      </c>
      <c r="AD57">
        <f t="shared" si="18"/>
        <v>28</v>
      </c>
      <c r="AE57">
        <f t="shared" si="20"/>
        <v>145</v>
      </c>
    </row>
    <row r="58" spans="1:31" x14ac:dyDescent="0.2">
      <c r="A58">
        <f>120-115</f>
        <v>5</v>
      </c>
      <c r="C58">
        <v>8</v>
      </c>
      <c r="D58">
        <v>115</v>
      </c>
      <c r="E58">
        <v>182</v>
      </c>
      <c r="F58">
        <v>4</v>
      </c>
      <c r="G58">
        <v>0</v>
      </c>
      <c r="H58">
        <v>16</v>
      </c>
      <c r="I58">
        <v>58</v>
      </c>
      <c r="N58">
        <v>8</v>
      </c>
      <c r="O58">
        <v>245</v>
      </c>
      <c r="P58">
        <v>509</v>
      </c>
      <c r="Q58">
        <f>245-227</f>
        <v>18</v>
      </c>
      <c r="R58">
        <v>0</v>
      </c>
      <c r="S58">
        <f>S57+Q58</f>
        <v>135</v>
      </c>
      <c r="T58">
        <v>100</v>
      </c>
      <c r="U58" s="46">
        <v>1168</v>
      </c>
      <c r="V58">
        <f t="shared" si="19"/>
        <v>3</v>
      </c>
      <c r="W58">
        <f t="shared" si="15"/>
        <v>172</v>
      </c>
      <c r="Z58" s="46">
        <v>825</v>
      </c>
      <c r="AA58">
        <f t="shared" si="16"/>
        <v>2</v>
      </c>
      <c r="AB58">
        <f t="shared" si="17"/>
        <v>66</v>
      </c>
      <c r="AC58" s="54">
        <v>1599</v>
      </c>
      <c r="AD58">
        <f t="shared" si="18"/>
        <v>56</v>
      </c>
      <c r="AE58">
        <f t="shared" si="20"/>
        <v>201</v>
      </c>
    </row>
    <row r="59" spans="1:31" x14ac:dyDescent="0.2">
      <c r="C59">
        <v>9</v>
      </c>
      <c r="D59">
        <v>120</v>
      </c>
      <c r="E59">
        <v>182</v>
      </c>
      <c r="F59">
        <v>5</v>
      </c>
      <c r="G59">
        <v>0</v>
      </c>
      <c r="H59">
        <v>21</v>
      </c>
      <c r="I59">
        <v>58</v>
      </c>
      <c r="N59">
        <v>9</v>
      </c>
      <c r="O59">
        <v>245</v>
      </c>
      <c r="P59">
        <v>520</v>
      </c>
      <c r="Q59">
        <v>0</v>
      </c>
      <c r="R59">
        <f>520-509</f>
        <v>11</v>
      </c>
      <c r="S59">
        <v>135</v>
      </c>
      <c r="T59">
        <v>111</v>
      </c>
      <c r="U59" s="46">
        <v>1184</v>
      </c>
      <c r="V59">
        <f t="shared" si="19"/>
        <v>16</v>
      </c>
      <c r="W59">
        <f t="shared" si="15"/>
        <v>188</v>
      </c>
      <c r="Z59" s="46">
        <v>830</v>
      </c>
      <c r="AA59">
        <f t="shared" si="16"/>
        <v>5</v>
      </c>
      <c r="AB59">
        <f t="shared" si="17"/>
        <v>71</v>
      </c>
      <c r="AC59" s="54">
        <v>1628</v>
      </c>
      <c r="AD59">
        <f t="shared" si="18"/>
        <v>29</v>
      </c>
      <c r="AE59">
        <f t="shared" si="20"/>
        <v>230</v>
      </c>
    </row>
    <row r="60" spans="1:31" x14ac:dyDescent="0.2">
      <c r="C60">
        <v>10</v>
      </c>
      <c r="D60">
        <v>120</v>
      </c>
      <c r="E60">
        <v>182</v>
      </c>
      <c r="F60">
        <v>0</v>
      </c>
      <c r="G60">
        <v>0</v>
      </c>
      <c r="H60">
        <v>21</v>
      </c>
      <c r="I60">
        <v>58</v>
      </c>
      <c r="N60">
        <v>10</v>
      </c>
      <c r="O60">
        <v>245</v>
      </c>
      <c r="P60">
        <v>530</v>
      </c>
      <c r="Q60">
        <v>0</v>
      </c>
      <c r="R60">
        <f>530-520</f>
        <v>10</v>
      </c>
      <c r="S60">
        <v>135</v>
      </c>
      <c r="T60">
        <v>121</v>
      </c>
      <c r="U60" s="46">
        <v>1199</v>
      </c>
      <c r="V60">
        <f t="shared" si="19"/>
        <v>15</v>
      </c>
      <c r="W60">
        <f t="shared" si="15"/>
        <v>203</v>
      </c>
      <c r="Z60" s="46">
        <v>835</v>
      </c>
      <c r="AA60">
        <f t="shared" si="16"/>
        <v>5</v>
      </c>
      <c r="AB60">
        <f t="shared" si="17"/>
        <v>76</v>
      </c>
      <c r="AC60" s="54">
        <v>1643</v>
      </c>
      <c r="AD60">
        <f t="shared" si="18"/>
        <v>15</v>
      </c>
      <c r="AE60">
        <f t="shared" si="20"/>
        <v>245</v>
      </c>
    </row>
    <row r="61" spans="1:31" x14ac:dyDescent="0.2">
      <c r="C61">
        <v>11</v>
      </c>
      <c r="D61">
        <v>120</v>
      </c>
      <c r="E61">
        <v>182</v>
      </c>
      <c r="F61">
        <v>0</v>
      </c>
      <c r="G61">
        <v>0</v>
      </c>
      <c r="H61">
        <v>21</v>
      </c>
      <c r="I61">
        <v>58</v>
      </c>
      <c r="N61">
        <v>11</v>
      </c>
      <c r="O61">
        <v>245</v>
      </c>
      <c r="P61">
        <v>550</v>
      </c>
      <c r="Q61">
        <v>0</v>
      </c>
      <c r="R61">
        <f>550-530</f>
        <v>20</v>
      </c>
      <c r="S61">
        <v>135</v>
      </c>
      <c r="T61">
        <f>T60+R61</f>
        <v>141</v>
      </c>
      <c r="U61" s="46">
        <v>1203</v>
      </c>
      <c r="V61">
        <f t="shared" si="14"/>
        <v>4</v>
      </c>
      <c r="W61">
        <f t="shared" si="15"/>
        <v>207</v>
      </c>
      <c r="Z61" s="46">
        <v>840</v>
      </c>
      <c r="AA61">
        <f t="shared" si="16"/>
        <v>5</v>
      </c>
      <c r="AB61">
        <f t="shared" si="17"/>
        <v>81</v>
      </c>
      <c r="AC61" s="54">
        <v>1689</v>
      </c>
      <c r="AD61">
        <f t="shared" si="18"/>
        <v>46</v>
      </c>
      <c r="AE61">
        <f t="shared" si="20"/>
        <v>291</v>
      </c>
    </row>
    <row r="62" spans="1:31" x14ac:dyDescent="0.2">
      <c r="C62">
        <v>12</v>
      </c>
      <c r="D62">
        <v>120</v>
      </c>
      <c r="E62">
        <v>182</v>
      </c>
      <c r="F62">
        <v>0</v>
      </c>
      <c r="G62">
        <v>0</v>
      </c>
      <c r="H62">
        <v>21</v>
      </c>
      <c r="I62">
        <v>58</v>
      </c>
      <c r="N62">
        <v>12</v>
      </c>
      <c r="O62">
        <v>245</v>
      </c>
      <c r="P62">
        <v>590</v>
      </c>
      <c r="Q62">
        <v>0</v>
      </c>
      <c r="R62">
        <f>590-550</f>
        <v>40</v>
      </c>
      <c r="S62">
        <v>135</v>
      </c>
      <c r="T62">
        <f>T61+R62</f>
        <v>181</v>
      </c>
      <c r="U62" s="46">
        <v>1232</v>
      </c>
      <c r="V62">
        <f t="shared" si="14"/>
        <v>29</v>
      </c>
      <c r="W62">
        <f t="shared" si="15"/>
        <v>236</v>
      </c>
      <c r="Y62" s="46"/>
      <c r="Z62" s="46">
        <v>845</v>
      </c>
      <c r="AA62">
        <f t="shared" si="16"/>
        <v>5</v>
      </c>
      <c r="AB62">
        <f t="shared" si="17"/>
        <v>86</v>
      </c>
      <c r="AC62" s="54">
        <v>1715</v>
      </c>
      <c r="AD62">
        <f t="shared" si="18"/>
        <v>26</v>
      </c>
      <c r="AE62">
        <f t="shared" si="20"/>
        <v>317</v>
      </c>
    </row>
    <row r="63" spans="1:31" x14ac:dyDescent="0.2">
      <c r="C63">
        <v>13</v>
      </c>
      <c r="D63">
        <v>120</v>
      </c>
      <c r="E63">
        <v>191</v>
      </c>
      <c r="F63">
        <v>0</v>
      </c>
      <c r="G63">
        <v>9</v>
      </c>
      <c r="H63">
        <v>21</v>
      </c>
      <c r="I63">
        <f>58+9</f>
        <v>67</v>
      </c>
      <c r="N63">
        <v>13</v>
      </c>
      <c r="O63">
        <v>310</v>
      </c>
      <c r="P63">
        <v>607</v>
      </c>
      <c r="Q63">
        <f>310-245</f>
        <v>65</v>
      </c>
      <c r="R63">
        <f>607-590</f>
        <v>17</v>
      </c>
      <c r="S63">
        <f>S62+Q63</f>
        <v>200</v>
      </c>
      <c r="T63">
        <f>T62+R63</f>
        <v>198</v>
      </c>
      <c r="U63" s="46">
        <v>1251</v>
      </c>
      <c r="V63">
        <f t="shared" si="14"/>
        <v>19</v>
      </c>
      <c r="W63">
        <f t="shared" si="15"/>
        <v>255</v>
      </c>
      <c r="Y63" s="46"/>
      <c r="Z63" s="46">
        <v>850</v>
      </c>
      <c r="AA63">
        <f t="shared" si="16"/>
        <v>5</v>
      </c>
      <c r="AB63">
        <f t="shared" si="17"/>
        <v>91</v>
      </c>
      <c r="AC63" s="54">
        <v>1735</v>
      </c>
      <c r="AD63">
        <f t="shared" si="18"/>
        <v>20</v>
      </c>
      <c r="AE63">
        <f t="shared" si="20"/>
        <v>337</v>
      </c>
    </row>
    <row r="64" spans="1:31" x14ac:dyDescent="0.2">
      <c r="C64">
        <v>14</v>
      </c>
      <c r="D64">
        <v>120</v>
      </c>
      <c r="E64">
        <v>191</v>
      </c>
      <c r="F64">
        <v>0</v>
      </c>
      <c r="G64">
        <v>0</v>
      </c>
      <c r="H64">
        <v>21</v>
      </c>
      <c r="I64">
        <v>67</v>
      </c>
      <c r="N64">
        <v>14</v>
      </c>
      <c r="O64">
        <v>310</v>
      </c>
      <c r="P64">
        <v>607</v>
      </c>
      <c r="Q64">
        <v>0</v>
      </c>
      <c r="R64">
        <v>0</v>
      </c>
      <c r="S64">
        <v>200</v>
      </c>
      <c r="T64">
        <v>198</v>
      </c>
      <c r="U64" s="46">
        <v>1268</v>
      </c>
      <c r="V64">
        <f t="shared" si="14"/>
        <v>17</v>
      </c>
      <c r="W64">
        <f t="shared" si="15"/>
        <v>272</v>
      </c>
      <c r="Y64" s="46"/>
      <c r="Z64" s="46">
        <v>855</v>
      </c>
      <c r="AA64">
        <f t="shared" si="16"/>
        <v>5</v>
      </c>
      <c r="AB64">
        <f t="shared" si="17"/>
        <v>96</v>
      </c>
      <c r="AC64" s="54">
        <v>1758</v>
      </c>
      <c r="AD64">
        <f t="shared" si="18"/>
        <v>23</v>
      </c>
      <c r="AE64">
        <f t="shared" si="20"/>
        <v>360</v>
      </c>
    </row>
    <row r="65" spans="3:31" x14ac:dyDescent="0.2">
      <c r="C65">
        <v>15</v>
      </c>
      <c r="D65">
        <v>120</v>
      </c>
      <c r="E65">
        <v>191</v>
      </c>
      <c r="F65">
        <v>0</v>
      </c>
      <c r="G65">
        <v>0</v>
      </c>
      <c r="H65">
        <v>21</v>
      </c>
      <c r="I65">
        <v>67</v>
      </c>
      <c r="N65">
        <v>15</v>
      </c>
      <c r="O65">
        <v>310</v>
      </c>
      <c r="P65">
        <v>635</v>
      </c>
      <c r="Q65">
        <v>0</v>
      </c>
      <c r="R65">
        <f>635-607</f>
        <v>28</v>
      </c>
      <c r="S65">
        <v>200</v>
      </c>
      <c r="T65">
        <f>T64+28</f>
        <v>226</v>
      </c>
      <c r="U65" s="46">
        <v>1284</v>
      </c>
      <c r="V65">
        <f t="shared" si="14"/>
        <v>16</v>
      </c>
      <c r="W65">
        <f t="shared" si="15"/>
        <v>288</v>
      </c>
      <c r="Y65" s="46"/>
      <c r="Z65" s="46">
        <v>862</v>
      </c>
      <c r="AA65">
        <f t="shared" si="16"/>
        <v>7</v>
      </c>
      <c r="AB65">
        <f t="shared" si="17"/>
        <v>103</v>
      </c>
      <c r="AC65" s="54">
        <v>1775</v>
      </c>
      <c r="AD65">
        <f t="shared" si="18"/>
        <v>17</v>
      </c>
      <c r="AE65">
        <f t="shared" si="20"/>
        <v>377</v>
      </c>
    </row>
    <row r="66" spans="3:31" x14ac:dyDescent="0.2">
      <c r="C66">
        <v>16</v>
      </c>
      <c r="D66">
        <v>120</v>
      </c>
      <c r="E66">
        <v>195</v>
      </c>
      <c r="F66">
        <v>0</v>
      </c>
      <c r="G66">
        <v>4</v>
      </c>
      <c r="H66">
        <v>21</v>
      </c>
      <c r="I66">
        <f>67+4</f>
        <v>71</v>
      </c>
      <c r="N66">
        <v>16</v>
      </c>
      <c r="O66">
        <v>310</v>
      </c>
      <c r="P66">
        <v>659</v>
      </c>
      <c r="Q66">
        <v>0</v>
      </c>
      <c r="R66">
        <f>659-635</f>
        <v>24</v>
      </c>
      <c r="S66">
        <v>200</v>
      </c>
      <c r="T66">
        <f>226+24</f>
        <v>250</v>
      </c>
      <c r="U66" s="46">
        <v>1297</v>
      </c>
      <c r="V66">
        <f t="shared" si="14"/>
        <v>13</v>
      </c>
      <c r="W66">
        <f t="shared" si="15"/>
        <v>301</v>
      </c>
      <c r="Y66" s="46"/>
      <c r="Z66" s="46">
        <v>876</v>
      </c>
      <c r="AA66">
        <f t="shared" si="16"/>
        <v>14</v>
      </c>
      <c r="AB66">
        <f t="shared" si="17"/>
        <v>117</v>
      </c>
      <c r="AC66" s="54">
        <v>1785</v>
      </c>
      <c r="AD66">
        <f t="shared" si="18"/>
        <v>10</v>
      </c>
      <c r="AE66">
        <f t="shared" si="20"/>
        <v>387</v>
      </c>
    </row>
    <row r="67" spans="3:31" x14ac:dyDescent="0.2">
      <c r="C67">
        <v>17</v>
      </c>
      <c r="D67">
        <v>120</v>
      </c>
      <c r="E67">
        <v>196</v>
      </c>
      <c r="F67">
        <v>0</v>
      </c>
      <c r="G67">
        <v>1</v>
      </c>
      <c r="H67">
        <v>21</v>
      </c>
      <c r="I67">
        <v>72</v>
      </c>
      <c r="N67">
        <v>17</v>
      </c>
      <c r="O67">
        <v>375</v>
      </c>
      <c r="P67">
        <v>715</v>
      </c>
      <c r="Q67">
        <f>375-310</f>
        <v>65</v>
      </c>
      <c r="R67">
        <f>715-659</f>
        <v>56</v>
      </c>
      <c r="S67">
        <v>265</v>
      </c>
      <c r="T67">
        <f>T66+R67</f>
        <v>306</v>
      </c>
      <c r="U67" s="46">
        <v>1315</v>
      </c>
      <c r="V67">
        <f t="shared" si="14"/>
        <v>18</v>
      </c>
      <c r="W67">
        <f t="shared" si="15"/>
        <v>319</v>
      </c>
      <c r="Y67" s="46"/>
      <c r="Z67" s="46">
        <v>879</v>
      </c>
      <c r="AA67">
        <f t="shared" si="16"/>
        <v>3</v>
      </c>
      <c r="AB67">
        <f t="shared" si="17"/>
        <v>120</v>
      </c>
      <c r="AC67" s="54">
        <v>1798</v>
      </c>
      <c r="AD67">
        <f t="shared" si="18"/>
        <v>13</v>
      </c>
      <c r="AE67">
        <f t="shared" si="20"/>
        <v>400</v>
      </c>
    </row>
    <row r="68" spans="3:31" x14ac:dyDescent="0.2">
      <c r="C68">
        <v>18</v>
      </c>
      <c r="D68">
        <v>120</v>
      </c>
      <c r="E68">
        <v>196</v>
      </c>
      <c r="F68">
        <v>0</v>
      </c>
      <c r="G68">
        <v>0</v>
      </c>
      <c r="H68">
        <v>21</v>
      </c>
      <c r="I68">
        <v>72</v>
      </c>
      <c r="N68">
        <v>18</v>
      </c>
      <c r="O68">
        <v>389</v>
      </c>
      <c r="P68">
        <v>715</v>
      </c>
      <c r="Q68">
        <f>389-375</f>
        <v>14</v>
      </c>
      <c r="R68">
        <v>0</v>
      </c>
      <c r="S68">
        <f>S67+Q68</f>
        <v>279</v>
      </c>
      <c r="T68">
        <f>T67+R68</f>
        <v>306</v>
      </c>
      <c r="U68" s="46">
        <v>1327</v>
      </c>
      <c r="V68">
        <f t="shared" si="14"/>
        <v>12</v>
      </c>
      <c r="W68">
        <f t="shared" si="15"/>
        <v>331</v>
      </c>
      <c r="Y68" s="46"/>
      <c r="Z68" s="46">
        <v>880</v>
      </c>
      <c r="AA68">
        <f t="shared" si="16"/>
        <v>1</v>
      </c>
      <c r="AB68">
        <f t="shared" si="17"/>
        <v>121</v>
      </c>
      <c r="AC68" s="54">
        <v>1815</v>
      </c>
      <c r="AD68">
        <f t="shared" si="18"/>
        <v>17</v>
      </c>
      <c r="AE68">
        <f t="shared" si="20"/>
        <v>417</v>
      </c>
    </row>
    <row r="69" spans="3:31" x14ac:dyDescent="0.2">
      <c r="C69">
        <v>19</v>
      </c>
      <c r="D69">
        <v>120</v>
      </c>
      <c r="E69">
        <v>196</v>
      </c>
      <c r="F69">
        <v>0</v>
      </c>
      <c r="G69">
        <v>0</v>
      </c>
      <c r="H69">
        <v>21</v>
      </c>
      <c r="I69">
        <v>72</v>
      </c>
      <c r="N69">
        <v>19</v>
      </c>
      <c r="O69">
        <v>402</v>
      </c>
      <c r="P69">
        <v>752</v>
      </c>
      <c r="Q69">
        <f>402-389</f>
        <v>13</v>
      </c>
      <c r="R69">
        <f>752-715</f>
        <v>37</v>
      </c>
      <c r="S69">
        <f>S68+Q69</f>
        <v>292</v>
      </c>
      <c r="T69">
        <f>T68+R69</f>
        <v>343</v>
      </c>
      <c r="U69" s="46">
        <v>1358</v>
      </c>
      <c r="V69">
        <f t="shared" si="14"/>
        <v>31</v>
      </c>
      <c r="W69">
        <f t="shared" si="15"/>
        <v>362</v>
      </c>
      <c r="Y69" s="46"/>
      <c r="Z69" s="46">
        <v>890</v>
      </c>
      <c r="AA69">
        <f t="shared" si="16"/>
        <v>10</v>
      </c>
      <c r="AB69">
        <f t="shared" si="17"/>
        <v>131</v>
      </c>
      <c r="AC69" s="54">
        <v>1826</v>
      </c>
      <c r="AD69">
        <f t="shared" si="18"/>
        <v>11</v>
      </c>
      <c r="AE69">
        <f t="shared" si="20"/>
        <v>428</v>
      </c>
    </row>
    <row r="70" spans="3:31" x14ac:dyDescent="0.2">
      <c r="C70">
        <v>20</v>
      </c>
      <c r="D70">
        <v>120</v>
      </c>
      <c r="E70">
        <v>196</v>
      </c>
      <c r="F70">
        <v>0</v>
      </c>
      <c r="G70">
        <v>0</v>
      </c>
      <c r="H70">
        <v>21</v>
      </c>
      <c r="I70">
        <v>72</v>
      </c>
      <c r="N70">
        <v>20</v>
      </c>
      <c r="O70">
        <v>415</v>
      </c>
      <c r="P70">
        <v>752</v>
      </c>
      <c r="Q70">
        <f t="shared" ref="Q70:Q75" si="21">O70-O69</f>
        <v>13</v>
      </c>
      <c r="R70">
        <v>0</v>
      </c>
      <c r="S70">
        <f>S69+Q70</f>
        <v>305</v>
      </c>
      <c r="T70">
        <f t="shared" ref="T70" si="22">T69+R70</f>
        <v>343</v>
      </c>
      <c r="U70" s="46">
        <v>1374</v>
      </c>
      <c r="V70">
        <f t="shared" si="14"/>
        <v>16</v>
      </c>
      <c r="W70">
        <f t="shared" si="15"/>
        <v>378</v>
      </c>
      <c r="Y70" s="46"/>
      <c r="Z70" s="46">
        <v>891</v>
      </c>
      <c r="AA70">
        <f t="shared" si="16"/>
        <v>1</v>
      </c>
      <c r="AB70">
        <f t="shared" si="17"/>
        <v>132</v>
      </c>
      <c r="AC70" s="54">
        <v>1841</v>
      </c>
      <c r="AD70">
        <f t="shared" si="18"/>
        <v>15</v>
      </c>
      <c r="AE70">
        <f t="shared" si="20"/>
        <v>443</v>
      </c>
    </row>
    <row r="71" spans="3:31" x14ac:dyDescent="0.2">
      <c r="C71">
        <v>21</v>
      </c>
      <c r="D71">
        <v>120</v>
      </c>
      <c r="E71">
        <v>196</v>
      </c>
      <c r="F71">
        <v>0</v>
      </c>
      <c r="G71">
        <v>0</v>
      </c>
      <c r="H71">
        <v>21</v>
      </c>
      <c r="I71">
        <v>72</v>
      </c>
      <c r="N71">
        <v>21</v>
      </c>
      <c r="O71">
        <v>425</v>
      </c>
      <c r="P71">
        <v>830</v>
      </c>
      <c r="Q71">
        <f t="shared" si="21"/>
        <v>10</v>
      </c>
      <c r="R71">
        <f>830-752</f>
        <v>78</v>
      </c>
      <c r="S71">
        <f>S70+Q72</f>
        <v>315</v>
      </c>
      <c r="T71">
        <f>T70+R71</f>
        <v>421</v>
      </c>
      <c r="U71" s="46">
        <v>1389</v>
      </c>
      <c r="V71">
        <f t="shared" si="14"/>
        <v>15</v>
      </c>
      <c r="W71">
        <f t="shared" si="15"/>
        <v>393</v>
      </c>
      <c r="Y71" s="46"/>
      <c r="Z71" s="46">
        <v>893</v>
      </c>
      <c r="AA71">
        <f t="shared" si="16"/>
        <v>2</v>
      </c>
      <c r="AB71">
        <f t="shared" si="17"/>
        <v>134</v>
      </c>
      <c r="AC71" s="54">
        <v>1856</v>
      </c>
      <c r="AD71">
        <f t="shared" si="18"/>
        <v>15</v>
      </c>
      <c r="AE71">
        <f t="shared" si="20"/>
        <v>458</v>
      </c>
    </row>
    <row r="72" spans="3:31" x14ac:dyDescent="0.2">
      <c r="C72">
        <v>22</v>
      </c>
      <c r="D72">
        <v>120</v>
      </c>
      <c r="E72">
        <v>196</v>
      </c>
      <c r="F72">
        <v>0</v>
      </c>
      <c r="G72">
        <v>0</v>
      </c>
      <c r="H72">
        <v>21</v>
      </c>
      <c r="I72">
        <v>72</v>
      </c>
      <c r="N72">
        <v>22</v>
      </c>
      <c r="O72">
        <v>435</v>
      </c>
      <c r="P72">
        <v>880</v>
      </c>
      <c r="Q72">
        <f t="shared" si="21"/>
        <v>10</v>
      </c>
      <c r="R72">
        <f>880-830</f>
        <v>50</v>
      </c>
      <c r="S72">
        <f>S71+Q72</f>
        <v>325</v>
      </c>
      <c r="T72">
        <f>T71+R72</f>
        <v>471</v>
      </c>
      <c r="U72" s="46">
        <v>1399</v>
      </c>
      <c r="V72">
        <f t="shared" si="14"/>
        <v>10</v>
      </c>
      <c r="W72">
        <f t="shared" si="15"/>
        <v>403</v>
      </c>
      <c r="Y72" s="46"/>
      <c r="Z72" s="46">
        <v>901</v>
      </c>
      <c r="AA72">
        <f>Z72-Z71</f>
        <v>8</v>
      </c>
      <c r="AB72">
        <f t="shared" si="17"/>
        <v>142</v>
      </c>
      <c r="AC72" s="54">
        <v>1868</v>
      </c>
      <c r="AD72">
        <f t="shared" si="18"/>
        <v>12</v>
      </c>
      <c r="AE72">
        <f t="shared" si="20"/>
        <v>470</v>
      </c>
    </row>
    <row r="73" spans="3:31" x14ac:dyDescent="0.2">
      <c r="C73">
        <v>23</v>
      </c>
      <c r="D73">
        <v>120</v>
      </c>
      <c r="E73">
        <v>196</v>
      </c>
      <c r="F73">
        <v>0</v>
      </c>
      <c r="G73">
        <v>0</v>
      </c>
      <c r="H73">
        <v>21</v>
      </c>
      <c r="I73">
        <v>72</v>
      </c>
      <c r="N73">
        <v>23</v>
      </c>
      <c r="O73">
        <v>440</v>
      </c>
      <c r="P73">
        <v>910</v>
      </c>
      <c r="Q73">
        <f t="shared" si="21"/>
        <v>5</v>
      </c>
      <c r="R73">
        <f>910-880</f>
        <v>30</v>
      </c>
      <c r="S73">
        <f>S72+Q73</f>
        <v>330</v>
      </c>
      <c r="T73">
        <f>T72+R73</f>
        <v>501</v>
      </c>
      <c r="U73" s="46">
        <v>1415</v>
      </c>
      <c r="V73">
        <f t="shared" si="14"/>
        <v>16</v>
      </c>
      <c r="W73">
        <f t="shared" si="15"/>
        <v>419</v>
      </c>
      <c r="Y73" s="46"/>
      <c r="Z73" s="46">
        <v>903</v>
      </c>
      <c r="AA73">
        <f>Z73-Z72</f>
        <v>2</v>
      </c>
      <c r="AB73">
        <f t="shared" si="17"/>
        <v>144</v>
      </c>
      <c r="AC73" s="25">
        <v>1879</v>
      </c>
      <c r="AD73">
        <f t="shared" si="18"/>
        <v>11</v>
      </c>
      <c r="AE73">
        <f t="shared" si="20"/>
        <v>481</v>
      </c>
    </row>
    <row r="74" spans="3:31" x14ac:dyDescent="0.2">
      <c r="C74">
        <v>24</v>
      </c>
      <c r="D74">
        <v>120</v>
      </c>
      <c r="E74">
        <v>196</v>
      </c>
      <c r="F74">
        <v>0</v>
      </c>
      <c r="G74">
        <v>0</v>
      </c>
      <c r="H74">
        <v>21</v>
      </c>
      <c r="I74">
        <v>72</v>
      </c>
      <c r="N74">
        <v>24</v>
      </c>
      <c r="O74">
        <v>445</v>
      </c>
      <c r="P74">
        <v>925</v>
      </c>
      <c r="Q74">
        <f t="shared" si="21"/>
        <v>5</v>
      </c>
      <c r="R74">
        <f>925-910</f>
        <v>15</v>
      </c>
      <c r="S74">
        <f>S73+Q74</f>
        <v>335</v>
      </c>
      <c r="T74">
        <f>T73+R74</f>
        <v>516</v>
      </c>
      <c r="U74" s="46">
        <v>1425</v>
      </c>
      <c r="V74">
        <f t="shared" si="14"/>
        <v>10</v>
      </c>
      <c r="W74">
        <f t="shared" si="15"/>
        <v>429</v>
      </c>
      <c r="Y74" s="46"/>
      <c r="Z74" s="46">
        <v>915</v>
      </c>
      <c r="AA74">
        <f t="shared" ref="AA74:AA76" si="23">Z74-Z73</f>
        <v>12</v>
      </c>
      <c r="AB74">
        <f t="shared" si="17"/>
        <v>156</v>
      </c>
      <c r="AC74" s="54">
        <v>1898</v>
      </c>
      <c r="AD74">
        <f t="shared" si="18"/>
        <v>19</v>
      </c>
      <c r="AE74">
        <f t="shared" si="20"/>
        <v>500</v>
      </c>
    </row>
    <row r="75" spans="3:31" x14ac:dyDescent="0.2">
      <c r="C75">
        <v>25</v>
      </c>
      <c r="D75">
        <v>120</v>
      </c>
      <c r="E75">
        <v>196</v>
      </c>
      <c r="F75">
        <v>0</v>
      </c>
      <c r="G75">
        <v>0</v>
      </c>
      <c r="H75">
        <v>21</v>
      </c>
      <c r="I75">
        <v>72</v>
      </c>
      <c r="N75">
        <v>25</v>
      </c>
      <c r="O75">
        <v>450</v>
      </c>
      <c r="P75">
        <v>937</v>
      </c>
      <c r="Q75">
        <f t="shared" si="21"/>
        <v>5</v>
      </c>
      <c r="R75">
        <f>937-925</f>
        <v>12</v>
      </c>
      <c r="S75">
        <f>S74+Q75</f>
        <v>340</v>
      </c>
      <c r="T75">
        <f>T74+R75</f>
        <v>528</v>
      </c>
      <c r="U75" s="46">
        <v>1434</v>
      </c>
      <c r="V75">
        <f>U75-U74</f>
        <v>9</v>
      </c>
      <c r="W75">
        <f t="shared" si="15"/>
        <v>438</v>
      </c>
      <c r="Z75" s="46">
        <v>925</v>
      </c>
      <c r="AA75">
        <f t="shared" si="23"/>
        <v>10</v>
      </c>
      <c r="AB75">
        <f t="shared" si="17"/>
        <v>166</v>
      </c>
      <c r="AC75" s="54">
        <v>1924</v>
      </c>
      <c r="AD75">
        <f t="shared" si="18"/>
        <v>26</v>
      </c>
      <c r="AE75">
        <f t="shared" si="20"/>
        <v>526</v>
      </c>
    </row>
    <row r="76" spans="3:31" x14ac:dyDescent="0.2">
      <c r="D76">
        <f>AVERAGE(D51:D75)</f>
        <v>108.68</v>
      </c>
      <c r="E76">
        <f>AVERAGE(E51:E75)</f>
        <v>178.88</v>
      </c>
      <c r="F76">
        <f>SUM(F51:F75)</f>
        <v>21</v>
      </c>
      <c r="G76">
        <f>SUM(G51:G75)</f>
        <v>72</v>
      </c>
      <c r="Q76">
        <f>SUM(Q51:Q75)</f>
        <v>340</v>
      </c>
      <c r="R76">
        <f>SUM(R51:R75)</f>
        <v>528</v>
      </c>
      <c r="V76">
        <f>SUM(V51:V75)</f>
        <v>438</v>
      </c>
      <c r="Z76" s="46">
        <v>931</v>
      </c>
      <c r="AA76">
        <f t="shared" si="23"/>
        <v>6</v>
      </c>
      <c r="AB76">
        <f t="shared" si="17"/>
        <v>172</v>
      </c>
      <c r="AC76" s="54">
        <v>1954</v>
      </c>
      <c r="AD76">
        <f t="shared" si="18"/>
        <v>30</v>
      </c>
      <c r="AE76">
        <f t="shared" si="20"/>
        <v>556</v>
      </c>
    </row>
    <row r="77" spans="3:31" x14ac:dyDescent="0.2">
      <c r="AA77">
        <f>SUM(AA52:AA76)</f>
        <v>172</v>
      </c>
      <c r="AD77">
        <f>SUM(AD52:AD76)</f>
        <v>556</v>
      </c>
    </row>
    <row r="78" spans="3:31" x14ac:dyDescent="0.2">
      <c r="D78" t="s">
        <v>32</v>
      </c>
    </row>
    <row r="79" spans="3:31" x14ac:dyDescent="0.2">
      <c r="D79">
        <v>408</v>
      </c>
      <c r="E79">
        <v>0</v>
      </c>
      <c r="F79">
        <v>0</v>
      </c>
    </row>
    <row r="80" spans="3:31" x14ac:dyDescent="0.2">
      <c r="D80">
        <v>408</v>
      </c>
      <c r="E80">
        <f>D80-D79</f>
        <v>0</v>
      </c>
      <c r="F80">
        <f>F79+E80</f>
        <v>0</v>
      </c>
    </row>
    <row r="81" spans="4:6" x14ac:dyDescent="0.2">
      <c r="D81">
        <v>408</v>
      </c>
      <c r="E81">
        <f t="shared" ref="E81:E103" si="24">D81-D80</f>
        <v>0</v>
      </c>
      <c r="F81">
        <f>F80+E81</f>
        <v>0</v>
      </c>
    </row>
    <row r="82" spans="4:6" x14ac:dyDescent="0.2">
      <c r="D82">
        <v>408</v>
      </c>
      <c r="E82">
        <f t="shared" si="24"/>
        <v>0</v>
      </c>
      <c r="F82">
        <f t="shared" ref="F82:F102" si="25">F81+E82</f>
        <v>0</v>
      </c>
    </row>
    <row r="83" spans="4:6" x14ac:dyDescent="0.2">
      <c r="D83">
        <v>410</v>
      </c>
      <c r="E83">
        <f t="shared" si="24"/>
        <v>2</v>
      </c>
      <c r="F83">
        <f t="shared" si="25"/>
        <v>2</v>
      </c>
    </row>
    <row r="84" spans="4:6" x14ac:dyDescent="0.2">
      <c r="D84">
        <v>414</v>
      </c>
      <c r="E84">
        <f t="shared" si="24"/>
        <v>4</v>
      </c>
      <c r="F84">
        <f t="shared" si="25"/>
        <v>6</v>
      </c>
    </row>
    <row r="85" spans="4:6" x14ac:dyDescent="0.2">
      <c r="D85">
        <v>418</v>
      </c>
      <c r="E85">
        <f t="shared" si="24"/>
        <v>4</v>
      </c>
      <c r="F85">
        <f t="shared" si="25"/>
        <v>10</v>
      </c>
    </row>
    <row r="86" spans="4:6" x14ac:dyDescent="0.2">
      <c r="D86">
        <v>427</v>
      </c>
      <c r="E86">
        <f t="shared" si="24"/>
        <v>9</v>
      </c>
      <c r="F86">
        <f t="shared" si="25"/>
        <v>19</v>
      </c>
    </row>
    <row r="87" spans="4:6" x14ac:dyDescent="0.2">
      <c r="D87">
        <v>436</v>
      </c>
      <c r="E87">
        <f t="shared" si="24"/>
        <v>9</v>
      </c>
      <c r="F87">
        <f t="shared" si="25"/>
        <v>28</v>
      </c>
    </row>
    <row r="88" spans="4:6" x14ac:dyDescent="0.2">
      <c r="D88">
        <v>440</v>
      </c>
      <c r="E88">
        <f t="shared" si="24"/>
        <v>4</v>
      </c>
      <c r="F88">
        <f t="shared" si="25"/>
        <v>32</v>
      </c>
    </row>
    <row r="89" spans="4:6" x14ac:dyDescent="0.2">
      <c r="D89">
        <v>459</v>
      </c>
      <c r="E89">
        <f t="shared" si="24"/>
        <v>19</v>
      </c>
      <c r="F89">
        <f t="shared" si="25"/>
        <v>51</v>
      </c>
    </row>
    <row r="90" spans="4:6" x14ac:dyDescent="0.2">
      <c r="D90">
        <v>465</v>
      </c>
      <c r="E90">
        <f t="shared" si="24"/>
        <v>6</v>
      </c>
      <c r="F90">
        <f t="shared" si="25"/>
        <v>57</v>
      </c>
    </row>
    <row r="91" spans="4:6" x14ac:dyDescent="0.2">
      <c r="D91">
        <v>472</v>
      </c>
      <c r="E91">
        <f t="shared" si="24"/>
        <v>7</v>
      </c>
      <c r="F91">
        <f t="shared" si="25"/>
        <v>64</v>
      </c>
    </row>
    <row r="92" spans="4:6" x14ac:dyDescent="0.2">
      <c r="D92">
        <v>485</v>
      </c>
      <c r="E92">
        <f t="shared" si="24"/>
        <v>13</v>
      </c>
      <c r="F92">
        <f t="shared" si="25"/>
        <v>77</v>
      </c>
    </row>
    <row r="93" spans="4:6" x14ac:dyDescent="0.2">
      <c r="D93">
        <v>495</v>
      </c>
      <c r="E93">
        <f t="shared" si="24"/>
        <v>10</v>
      </c>
      <c r="F93">
        <f t="shared" si="25"/>
        <v>87</v>
      </c>
    </row>
    <row r="94" spans="4:6" x14ac:dyDescent="0.2">
      <c r="D94">
        <v>505</v>
      </c>
      <c r="E94">
        <f t="shared" si="24"/>
        <v>10</v>
      </c>
      <c r="F94">
        <f t="shared" si="25"/>
        <v>97</v>
      </c>
    </row>
    <row r="95" spans="4:6" x14ac:dyDescent="0.2">
      <c r="D95">
        <v>515</v>
      </c>
      <c r="E95">
        <f t="shared" si="24"/>
        <v>10</v>
      </c>
      <c r="F95">
        <f t="shared" si="25"/>
        <v>107</v>
      </c>
    </row>
    <row r="96" spans="4:6" x14ac:dyDescent="0.2">
      <c r="D96">
        <v>523</v>
      </c>
      <c r="E96">
        <f t="shared" si="24"/>
        <v>8</v>
      </c>
      <c r="F96">
        <f t="shared" si="25"/>
        <v>115</v>
      </c>
    </row>
    <row r="97" spans="4:6" x14ac:dyDescent="0.2">
      <c r="D97">
        <v>532</v>
      </c>
      <c r="E97">
        <f t="shared" si="24"/>
        <v>9</v>
      </c>
      <c r="F97">
        <f t="shared" si="25"/>
        <v>124</v>
      </c>
    </row>
    <row r="98" spans="4:6" x14ac:dyDescent="0.2">
      <c r="D98">
        <v>547</v>
      </c>
      <c r="E98">
        <f t="shared" si="24"/>
        <v>15</v>
      </c>
      <c r="F98">
        <f t="shared" si="25"/>
        <v>139</v>
      </c>
    </row>
    <row r="99" spans="4:6" x14ac:dyDescent="0.2">
      <c r="D99">
        <v>553</v>
      </c>
      <c r="E99">
        <f t="shared" si="24"/>
        <v>6</v>
      </c>
      <c r="F99">
        <f t="shared" si="25"/>
        <v>145</v>
      </c>
    </row>
    <row r="100" spans="4:6" x14ac:dyDescent="0.2">
      <c r="D100">
        <v>561</v>
      </c>
      <c r="E100">
        <f t="shared" si="24"/>
        <v>8</v>
      </c>
      <c r="F100">
        <f t="shared" si="25"/>
        <v>153</v>
      </c>
    </row>
    <row r="101" spans="4:6" x14ac:dyDescent="0.2">
      <c r="D101">
        <v>562</v>
      </c>
      <c r="E101">
        <f t="shared" si="24"/>
        <v>1</v>
      </c>
      <c r="F101">
        <f t="shared" si="25"/>
        <v>154</v>
      </c>
    </row>
    <row r="102" spans="4:6" x14ac:dyDescent="0.2">
      <c r="D102">
        <v>569</v>
      </c>
      <c r="E102">
        <f t="shared" si="24"/>
        <v>7</v>
      </c>
      <c r="F102">
        <f t="shared" si="25"/>
        <v>161</v>
      </c>
    </row>
    <row r="103" spans="4:6" x14ac:dyDescent="0.2">
      <c r="D103">
        <v>579</v>
      </c>
      <c r="E103">
        <f t="shared" si="24"/>
        <v>10</v>
      </c>
      <c r="F103">
        <f>F102+E103</f>
        <v>171</v>
      </c>
    </row>
    <row r="104" spans="4:6" x14ac:dyDescent="0.2">
      <c r="E104">
        <f>SUM(E79:E103)</f>
        <v>171</v>
      </c>
    </row>
  </sheetData>
  <mergeCells count="7">
    <mergeCell ref="B49:E49"/>
    <mergeCell ref="M49:P49"/>
    <mergeCell ref="B5:E5"/>
    <mergeCell ref="B11:E11"/>
    <mergeCell ref="L5:O5"/>
    <mergeCell ref="L11:O11"/>
    <mergeCell ref="M17:P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G17"/>
  <sheetViews>
    <sheetView zoomScale="125" workbookViewId="0">
      <selection activeCell="D17" sqref="D17"/>
    </sheetView>
  </sheetViews>
  <sheetFormatPr baseColWidth="10" defaultRowHeight="16" x14ac:dyDescent="0.2"/>
  <cols>
    <col min="6" max="6" width="13.33203125" customWidth="1"/>
    <col min="7" max="7" width="13.83203125" customWidth="1"/>
  </cols>
  <sheetData>
    <row r="4" spans="1:7" ht="17" thickBot="1" x14ac:dyDescent="0.25"/>
    <row r="5" spans="1:7" x14ac:dyDescent="0.2">
      <c r="A5" s="2"/>
      <c r="B5" s="73" t="s">
        <v>9</v>
      </c>
      <c r="C5" s="73"/>
      <c r="D5" s="73"/>
      <c r="E5" s="74"/>
    </row>
    <row r="6" spans="1:7" ht="17" thickBot="1" x14ac:dyDescent="0.25">
      <c r="A6" s="3"/>
      <c r="B6" s="4" t="s">
        <v>1</v>
      </c>
      <c r="C6" s="4" t="s">
        <v>2</v>
      </c>
      <c r="D6" s="4" t="s">
        <v>3</v>
      </c>
      <c r="E6" s="5" t="s">
        <v>4</v>
      </c>
      <c r="F6" s="5" t="s">
        <v>32</v>
      </c>
      <c r="G6" s="4" t="s">
        <v>40</v>
      </c>
    </row>
    <row r="7" spans="1:7" ht="17" thickBot="1" x14ac:dyDescent="0.25">
      <c r="A7" s="6" t="s">
        <v>13</v>
      </c>
      <c r="B7" t="s">
        <v>22</v>
      </c>
      <c r="C7" t="s">
        <v>22</v>
      </c>
      <c r="D7" s="15" t="e">
        <f>'[1]Coliformes D1'!$L$12</f>
        <v>#REF!</v>
      </c>
      <c r="E7" s="12" t="e">
        <f>'[2]Coliformes D1'!$L$12</f>
        <v>#REF!</v>
      </c>
      <c r="F7" s="42">
        <v>5380000</v>
      </c>
      <c r="G7" s="15">
        <v>4360000</v>
      </c>
    </row>
    <row r="8" spans="1:7" ht="17" thickBot="1" x14ac:dyDescent="0.25">
      <c r="A8" s="7" t="s">
        <v>14</v>
      </c>
      <c r="B8" s="8" t="s">
        <v>22</v>
      </c>
      <c r="C8" s="8" t="s">
        <v>22</v>
      </c>
      <c r="D8" s="16" t="e">
        <f>'[1]Coliformes D1'!$L$26</f>
        <v>#REF!</v>
      </c>
      <c r="E8" s="13" t="e">
        <f>'[2]Coliformes D1'!$L$26</f>
        <v>#REF!</v>
      </c>
      <c r="F8" s="13">
        <v>310000</v>
      </c>
      <c r="G8" s="15">
        <v>230000</v>
      </c>
    </row>
    <row r="10" spans="1:7" ht="17" thickBot="1" x14ac:dyDescent="0.25"/>
    <row r="11" spans="1:7" x14ac:dyDescent="0.2">
      <c r="A11" s="2"/>
      <c r="B11" s="69" t="s">
        <v>10</v>
      </c>
      <c r="C11" s="69"/>
      <c r="D11" s="69"/>
      <c r="E11" s="70"/>
    </row>
    <row r="12" spans="1:7" ht="17" thickBot="1" x14ac:dyDescent="0.25">
      <c r="A12" s="3"/>
      <c r="B12" s="4" t="s">
        <v>1</v>
      </c>
      <c r="C12" s="4" t="s">
        <v>2</v>
      </c>
      <c r="D12" s="4" t="s">
        <v>3</v>
      </c>
      <c r="E12" s="5" t="s">
        <v>4</v>
      </c>
      <c r="F12" s="5" t="s">
        <v>32</v>
      </c>
      <c r="G12" s="4" t="s">
        <v>40</v>
      </c>
    </row>
    <row r="13" spans="1:7" ht="17" thickBot="1" x14ac:dyDescent="0.25">
      <c r="A13" s="6" t="s">
        <v>13</v>
      </c>
      <c r="B13" t="s">
        <v>22</v>
      </c>
      <c r="C13" t="s">
        <v>22</v>
      </c>
      <c r="D13" s="15" t="e">
        <f>'[1]Coliformes D2'!$L$12</f>
        <v>#REF!</v>
      </c>
      <c r="E13" s="12" t="e">
        <f>'[2]Coliformes D2'!$L$12</f>
        <v>#REF!</v>
      </c>
      <c r="F13" s="43">
        <v>4090000</v>
      </c>
      <c r="G13" s="15">
        <v>3140000</v>
      </c>
    </row>
    <row r="14" spans="1:7" ht="17" thickBot="1" x14ac:dyDescent="0.25">
      <c r="A14" s="7" t="s">
        <v>14</v>
      </c>
      <c r="B14" s="8" t="s">
        <v>22</v>
      </c>
      <c r="C14" s="8" t="s">
        <v>22</v>
      </c>
      <c r="D14" s="16" t="e">
        <f>'[1]Coliformes D2'!$L$26</f>
        <v>#REF!</v>
      </c>
      <c r="E14" s="13" t="e">
        <f>'[2]Coliformes D2'!$L$26</f>
        <v>#REF!</v>
      </c>
      <c r="F14" s="15">
        <v>132000</v>
      </c>
      <c r="G14" s="15">
        <v>196000</v>
      </c>
    </row>
    <row r="16" spans="1:7" x14ac:dyDescent="0.2">
      <c r="D16" s="15"/>
      <c r="E16" s="12"/>
    </row>
    <row r="17" spans="4:6" x14ac:dyDescent="0.2">
      <c r="D17" s="15"/>
      <c r="E17" s="12"/>
      <c r="F17" s="15"/>
    </row>
  </sheetData>
  <mergeCells count="2">
    <mergeCell ref="B5:E5"/>
    <mergeCell ref="B11:E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workbookViewId="0">
      <selection activeCell="H21" sqref="H21"/>
    </sheetView>
  </sheetViews>
  <sheetFormatPr baseColWidth="10" defaultRowHeight="16" x14ac:dyDescent="0.2"/>
  <sheetData>
    <row r="1" spans="1:15" ht="17" thickBot="1" x14ac:dyDescent="0.25"/>
    <row r="2" spans="1:15" ht="17" thickBot="1" x14ac:dyDescent="0.25">
      <c r="A2" s="93" t="s">
        <v>18</v>
      </c>
      <c r="B2" s="94"/>
      <c r="C2" s="94"/>
      <c r="D2" s="94"/>
      <c r="E2" s="94"/>
      <c r="F2" s="95"/>
      <c r="H2" s="77" t="s">
        <v>20</v>
      </c>
      <c r="I2" s="78"/>
      <c r="J2" s="79">
        <v>9.2959999999999994</v>
      </c>
      <c r="K2" s="79"/>
      <c r="L2" s="79">
        <v>9.8629999999999995</v>
      </c>
      <c r="M2" s="79"/>
      <c r="N2" s="79">
        <v>6.2430000000000003</v>
      </c>
      <c r="O2" s="80"/>
    </row>
    <row r="3" spans="1:15" ht="17" thickBot="1" x14ac:dyDescent="0.25">
      <c r="A3" s="77" t="s">
        <v>15</v>
      </c>
      <c r="B3" s="78"/>
      <c r="C3" s="96">
        <v>100</v>
      </c>
      <c r="D3" s="96"/>
      <c r="E3" s="96">
        <v>107.143</v>
      </c>
      <c r="F3" s="97"/>
      <c r="H3" s="81" t="s">
        <v>21</v>
      </c>
      <c r="I3" s="82"/>
      <c r="J3" s="83">
        <v>3.0880000000000001</v>
      </c>
      <c r="K3" s="83"/>
      <c r="L3" s="83">
        <v>2.3330000000000002</v>
      </c>
      <c r="M3" s="83"/>
      <c r="N3" s="83">
        <v>2.2879999999999998</v>
      </c>
      <c r="O3" s="84"/>
    </row>
    <row r="4" spans="1:15" x14ac:dyDescent="0.2">
      <c r="A4" s="85" t="s">
        <v>16</v>
      </c>
      <c r="B4" s="86"/>
      <c r="C4" s="87">
        <v>148.904</v>
      </c>
      <c r="D4" s="87"/>
      <c r="E4" s="87">
        <v>157.995</v>
      </c>
      <c r="F4" s="88"/>
    </row>
    <row r="5" spans="1:15" ht="17" thickBot="1" x14ac:dyDescent="0.25">
      <c r="A5" s="89" t="s">
        <v>17</v>
      </c>
      <c r="B5" s="90"/>
      <c r="C5" s="91">
        <v>148.904</v>
      </c>
      <c r="D5" s="91"/>
      <c r="E5" s="91">
        <v>169.28</v>
      </c>
      <c r="F5" s="92"/>
    </row>
    <row r="6" spans="1:15" ht="17" thickBot="1" x14ac:dyDescent="0.25"/>
    <row r="7" spans="1:15" ht="17" thickBot="1" x14ac:dyDescent="0.25">
      <c r="A7" s="93" t="s">
        <v>19</v>
      </c>
      <c r="B7" s="94"/>
      <c r="C7" s="94"/>
      <c r="D7" s="94"/>
      <c r="E7" s="94"/>
      <c r="F7" s="95"/>
      <c r="H7" s="77" t="s">
        <v>20</v>
      </c>
      <c r="I7" s="78"/>
      <c r="J7" s="79">
        <v>7.8529999999999998</v>
      </c>
      <c r="K7" s="79"/>
      <c r="L7" s="79">
        <v>7.86</v>
      </c>
      <c r="M7" s="79"/>
      <c r="N7" s="79">
        <v>5.52</v>
      </c>
      <c r="O7" s="80"/>
    </row>
    <row r="8" spans="1:15" ht="17" thickBot="1" x14ac:dyDescent="0.25">
      <c r="A8" s="77" t="s">
        <v>15</v>
      </c>
      <c r="B8" s="78"/>
      <c r="C8" s="96">
        <v>107.143</v>
      </c>
      <c r="D8" s="96"/>
      <c r="E8" s="96">
        <v>114.286</v>
      </c>
      <c r="F8" s="97"/>
      <c r="H8" s="81" t="s">
        <v>21</v>
      </c>
      <c r="I8" s="82"/>
      <c r="J8" s="83">
        <v>2.13</v>
      </c>
      <c r="K8" s="83"/>
      <c r="L8" s="83">
        <v>2.2349999999999999</v>
      </c>
      <c r="M8" s="83"/>
      <c r="N8" s="83">
        <v>2.8330000000000002</v>
      </c>
      <c r="O8" s="84"/>
    </row>
    <row r="9" spans="1:15" x14ac:dyDescent="0.2">
      <c r="A9" s="85" t="s">
        <v>16</v>
      </c>
      <c r="B9" s="86"/>
      <c r="C9" s="87">
        <v>149.57499999999999</v>
      </c>
      <c r="D9" s="87"/>
      <c r="E9" s="87">
        <v>149.72</v>
      </c>
      <c r="F9" s="88"/>
    </row>
    <row r="10" spans="1:15" ht="17" thickBot="1" x14ac:dyDescent="0.25">
      <c r="A10" s="89" t="s">
        <v>17</v>
      </c>
      <c r="B10" s="90"/>
      <c r="C10" s="91">
        <v>160.25899999999999</v>
      </c>
      <c r="D10" s="91"/>
      <c r="E10" s="91">
        <v>171.10900000000001</v>
      </c>
      <c r="F10" s="92"/>
    </row>
    <row r="11" spans="1:15" ht="17" thickBot="1" x14ac:dyDescent="0.25"/>
    <row r="12" spans="1:15" ht="17" thickBot="1" x14ac:dyDescent="0.25">
      <c r="A12" s="93" t="s">
        <v>31</v>
      </c>
      <c r="B12" s="94"/>
      <c r="C12" s="94"/>
      <c r="D12" s="94"/>
      <c r="E12" s="94"/>
      <c r="F12" s="95"/>
      <c r="H12" s="77" t="s">
        <v>20</v>
      </c>
      <c r="I12" s="78"/>
      <c r="J12" s="79">
        <v>6.2080000000000002</v>
      </c>
      <c r="K12" s="79"/>
      <c r="L12" s="79">
        <v>8.39</v>
      </c>
      <c r="M12" s="79"/>
      <c r="N12" s="79">
        <v>6.181</v>
      </c>
      <c r="O12" s="80"/>
    </row>
    <row r="13" spans="1:15" ht="17" thickBot="1" x14ac:dyDescent="0.25">
      <c r="A13" s="77" t="s">
        <v>15</v>
      </c>
      <c r="B13" s="78"/>
      <c r="C13" s="96">
        <v>120</v>
      </c>
      <c r="D13" s="96"/>
      <c r="E13" s="96">
        <v>130</v>
      </c>
      <c r="F13" s="97"/>
      <c r="H13" s="81" t="s">
        <v>21</v>
      </c>
      <c r="I13" s="82"/>
      <c r="J13" s="83">
        <v>2.161</v>
      </c>
      <c r="K13" s="83"/>
      <c r="L13" s="83">
        <v>3.012</v>
      </c>
      <c r="M13" s="83"/>
      <c r="N13" s="83">
        <v>1.75</v>
      </c>
      <c r="O13" s="84"/>
    </row>
    <row r="14" spans="1:15" x14ac:dyDescent="0.2">
      <c r="A14" s="85" t="s">
        <v>16</v>
      </c>
      <c r="B14" s="86"/>
      <c r="C14" s="87">
        <v>100.43</v>
      </c>
      <c r="D14" s="87"/>
      <c r="E14" s="87">
        <v>135.74</v>
      </c>
      <c r="F14" s="88"/>
    </row>
    <row r="15" spans="1:15" ht="17" thickBot="1" x14ac:dyDescent="0.25">
      <c r="A15" s="89" t="s">
        <v>17</v>
      </c>
      <c r="B15" s="90"/>
      <c r="C15" s="91">
        <v>120.52</v>
      </c>
      <c r="D15" s="91"/>
      <c r="E15" s="91">
        <v>176.46</v>
      </c>
      <c r="F15" s="92"/>
    </row>
    <row r="16" spans="1:15" ht="17" thickBot="1" x14ac:dyDescent="0.25"/>
    <row r="17" spans="1:15" ht="17" thickBot="1" x14ac:dyDescent="0.25">
      <c r="A17" s="93" t="s">
        <v>40</v>
      </c>
      <c r="B17" s="94"/>
      <c r="C17" s="94"/>
      <c r="D17" s="94"/>
      <c r="E17" s="94"/>
      <c r="F17" s="95"/>
      <c r="H17" s="77" t="s">
        <v>20</v>
      </c>
      <c r="I17" s="78"/>
      <c r="J17" s="79"/>
      <c r="K17" s="79"/>
      <c r="L17" s="79"/>
      <c r="M17" s="79"/>
      <c r="N17" s="79"/>
      <c r="O17" s="80"/>
    </row>
    <row r="18" spans="1:15" ht="17" thickBot="1" x14ac:dyDescent="0.25">
      <c r="A18" s="77" t="s">
        <v>15</v>
      </c>
      <c r="B18" s="78"/>
      <c r="C18" s="96"/>
      <c r="D18" s="96"/>
      <c r="E18" s="96"/>
      <c r="F18" s="97"/>
      <c r="H18" s="81" t="s">
        <v>21</v>
      </c>
      <c r="I18" s="82"/>
      <c r="J18" s="83"/>
      <c r="K18" s="83"/>
      <c r="L18" s="83"/>
      <c r="M18" s="83"/>
      <c r="N18" s="83"/>
      <c r="O18" s="84"/>
    </row>
    <row r="19" spans="1:15" x14ac:dyDescent="0.2">
      <c r="A19" s="85" t="s">
        <v>16</v>
      </c>
      <c r="B19" s="86"/>
      <c r="C19" s="87"/>
      <c r="D19" s="87"/>
      <c r="E19" s="87"/>
      <c r="F19" s="88"/>
    </row>
    <row r="20" spans="1:15" ht="17" thickBot="1" x14ac:dyDescent="0.25">
      <c r="A20" s="89" t="s">
        <v>17</v>
      </c>
      <c r="B20" s="90"/>
      <c r="C20" s="91"/>
      <c r="D20" s="91"/>
      <c r="E20" s="91"/>
      <c r="F20" s="92"/>
    </row>
  </sheetData>
  <mergeCells count="72">
    <mergeCell ref="H7:I7"/>
    <mergeCell ref="J7:K7"/>
    <mergeCell ref="L7:M7"/>
    <mergeCell ref="N7:O7"/>
    <mergeCell ref="H8:I8"/>
    <mergeCell ref="J8:K8"/>
    <mergeCell ref="L8:M8"/>
    <mergeCell ref="N8:O8"/>
    <mergeCell ref="A9:B9"/>
    <mergeCell ref="A10:B10"/>
    <mergeCell ref="H2:I2"/>
    <mergeCell ref="J2:K2"/>
    <mergeCell ref="L2:M2"/>
    <mergeCell ref="C9:D9"/>
    <mergeCell ref="E9:F9"/>
    <mergeCell ref="C10:D10"/>
    <mergeCell ref="E10:F10"/>
    <mergeCell ref="A5:B5"/>
    <mergeCell ref="C5:D5"/>
    <mergeCell ref="E5:F5"/>
    <mergeCell ref="A2:F2"/>
    <mergeCell ref="C8:D8"/>
    <mergeCell ref="E8:F8"/>
    <mergeCell ref="A7:F7"/>
    <mergeCell ref="N2:O2"/>
    <mergeCell ref="H3:I3"/>
    <mergeCell ref="J3:K3"/>
    <mergeCell ref="L3:M3"/>
    <mergeCell ref="N3:O3"/>
    <mergeCell ref="A8:B8"/>
    <mergeCell ref="A3:B3"/>
    <mergeCell ref="C3:D3"/>
    <mergeCell ref="E3:F3"/>
    <mergeCell ref="A4:B4"/>
    <mergeCell ref="C4:D4"/>
    <mergeCell ref="E4:F4"/>
    <mergeCell ref="A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H12:I12"/>
    <mergeCell ref="J12:K12"/>
    <mergeCell ref="L12:M12"/>
    <mergeCell ref="N12:O12"/>
    <mergeCell ref="H13:I13"/>
    <mergeCell ref="J13:K13"/>
    <mergeCell ref="L13:M13"/>
    <mergeCell ref="N13:O13"/>
    <mergeCell ref="H17:I17"/>
    <mergeCell ref="J17:K17"/>
    <mergeCell ref="L17:M17"/>
    <mergeCell ref="N17:O17"/>
    <mergeCell ref="H18:I18"/>
    <mergeCell ref="J18:K18"/>
    <mergeCell ref="L18:M18"/>
    <mergeCell ref="N18:O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8"/>
  <sheetViews>
    <sheetView topLeftCell="A10" zoomScale="81" zoomScaleNormal="110" zoomScalePageLayoutView="110" workbookViewId="0">
      <selection activeCell="H45" sqref="H45"/>
    </sheetView>
  </sheetViews>
  <sheetFormatPr baseColWidth="10" defaultRowHeight="16" x14ac:dyDescent="0.2"/>
  <cols>
    <col min="5" max="5" width="12.1640625" bestFit="1" customWidth="1"/>
  </cols>
  <sheetData>
    <row r="1" spans="1:15" x14ac:dyDescent="0.2">
      <c r="A1" s="98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5" x14ac:dyDescent="0.2">
      <c r="A2" s="98" t="s">
        <v>37</v>
      </c>
      <c r="B2" s="98"/>
      <c r="C2" s="98"/>
      <c r="D2" s="98"/>
      <c r="E2" s="98"/>
      <c r="F2" s="25"/>
      <c r="G2" s="25"/>
      <c r="H2" s="25"/>
      <c r="I2" s="98" t="s">
        <v>35</v>
      </c>
      <c r="J2" s="98"/>
      <c r="K2" s="98"/>
      <c r="L2" s="98"/>
      <c r="M2" s="98"/>
    </row>
    <row r="3" spans="1:15" ht="17" thickBot="1" x14ac:dyDescent="0.25">
      <c r="A3" s="25" t="s">
        <v>23</v>
      </c>
      <c r="B3" s="48" t="s">
        <v>24</v>
      </c>
      <c r="C3" s="49" t="s">
        <v>18</v>
      </c>
      <c r="D3" s="50" t="s">
        <v>19</v>
      </c>
      <c r="E3" s="47" t="s">
        <v>31</v>
      </c>
      <c r="F3" s="52" t="s">
        <v>40</v>
      </c>
      <c r="G3" s="25" t="s">
        <v>51</v>
      </c>
      <c r="H3" s="25"/>
      <c r="I3" s="25" t="s">
        <v>23</v>
      </c>
      <c r="J3" s="48" t="s">
        <v>24</v>
      </c>
      <c r="K3" s="49" t="s">
        <v>18</v>
      </c>
      <c r="L3" s="50" t="s">
        <v>19</v>
      </c>
      <c r="M3" s="47" t="s">
        <v>31</v>
      </c>
      <c r="O3" s="53" t="s">
        <v>40</v>
      </c>
    </row>
    <row r="4" spans="1:15" x14ac:dyDescent="0.2">
      <c r="A4" s="25">
        <v>5.93</v>
      </c>
      <c r="B4" s="25">
        <v>6.51</v>
      </c>
      <c r="C4" s="25">
        <v>7.1</v>
      </c>
      <c r="D4" s="25">
        <v>6.32</v>
      </c>
      <c r="E4" s="29">
        <v>15.51</v>
      </c>
      <c r="F4" s="25">
        <v>46.38</v>
      </c>
      <c r="G4" s="25">
        <f>AVERAGE(A4:D4)</f>
        <v>6.4649999999999999</v>
      </c>
      <c r="H4" s="25"/>
      <c r="I4" s="25">
        <v>0.59299999999999997</v>
      </c>
      <c r="J4" s="25">
        <v>0.65</v>
      </c>
      <c r="K4" s="25">
        <v>0.75</v>
      </c>
      <c r="L4" s="25">
        <v>0.29099999999999998</v>
      </c>
      <c r="M4" s="25">
        <v>1.177</v>
      </c>
      <c r="N4" s="25">
        <v>1</v>
      </c>
      <c r="O4" s="25">
        <v>3.33</v>
      </c>
    </row>
    <row r="5" spans="1:15" x14ac:dyDescent="0.2">
      <c r="A5" s="25">
        <v>5.51</v>
      </c>
      <c r="B5" s="25">
        <v>5.03</v>
      </c>
      <c r="C5" s="25">
        <v>6.16</v>
      </c>
      <c r="D5" s="25">
        <v>3.33</v>
      </c>
      <c r="E5" s="25">
        <v>16.64</v>
      </c>
      <c r="F5" s="25">
        <v>31.7</v>
      </c>
      <c r="G5" s="25">
        <f t="shared" ref="G5:G9" si="0">AVERAGE(A5:D5)</f>
        <v>5.0075000000000003</v>
      </c>
      <c r="H5" s="25"/>
      <c r="I5" s="25">
        <v>0.55000000000000004</v>
      </c>
      <c r="J5" s="25">
        <v>0.58099999999999996</v>
      </c>
      <c r="K5" s="25">
        <v>0.64</v>
      </c>
      <c r="L5" s="25">
        <v>0.14499999999999999</v>
      </c>
      <c r="M5" s="25">
        <v>0.76</v>
      </c>
      <c r="N5" s="25">
        <v>9</v>
      </c>
      <c r="O5" s="25">
        <v>2.29</v>
      </c>
    </row>
    <row r="6" spans="1:15" x14ac:dyDescent="0.2">
      <c r="A6" s="25">
        <v>6.75</v>
      </c>
      <c r="B6" s="25">
        <v>4.96</v>
      </c>
      <c r="C6" s="25">
        <v>5.75</v>
      </c>
      <c r="D6" s="25">
        <v>1.0900000000000001</v>
      </c>
      <c r="E6" s="25">
        <v>17.32</v>
      </c>
      <c r="F6" s="25">
        <v>32.04</v>
      </c>
      <c r="G6" s="25">
        <f t="shared" si="0"/>
        <v>4.6375000000000002</v>
      </c>
      <c r="H6" s="25"/>
      <c r="I6" s="25">
        <v>0.67500000000000004</v>
      </c>
      <c r="J6" s="25">
        <v>0.495</v>
      </c>
      <c r="K6" s="25">
        <v>0.63</v>
      </c>
      <c r="L6" s="25">
        <v>0.05</v>
      </c>
      <c r="M6" s="25">
        <v>0.81399999999999995</v>
      </c>
      <c r="N6" s="25">
        <v>13</v>
      </c>
      <c r="O6" s="25">
        <v>2.4300000000000002</v>
      </c>
    </row>
    <row r="7" spans="1:15" x14ac:dyDescent="0.2">
      <c r="A7" s="25">
        <v>5.81</v>
      </c>
      <c r="B7" s="25">
        <v>7.1</v>
      </c>
      <c r="C7" s="25">
        <v>5.81</v>
      </c>
      <c r="D7" s="25">
        <v>5.42</v>
      </c>
      <c r="E7" s="25">
        <v>15.53</v>
      </c>
      <c r="F7" s="25">
        <v>38.29</v>
      </c>
      <c r="G7" s="25">
        <f t="shared" si="0"/>
        <v>6.0350000000000001</v>
      </c>
      <c r="H7" s="25"/>
      <c r="I7" s="25">
        <v>0.58099999999999996</v>
      </c>
      <c r="J7" s="25">
        <v>0.71</v>
      </c>
      <c r="K7" s="25">
        <v>0.59699999999999998</v>
      </c>
      <c r="L7" s="25">
        <v>0.245</v>
      </c>
      <c r="M7" s="25">
        <v>0.73099999999999998</v>
      </c>
      <c r="N7" s="25">
        <v>19</v>
      </c>
      <c r="O7" s="25">
        <v>2.8</v>
      </c>
    </row>
    <row r="8" spans="1:15" x14ac:dyDescent="0.2">
      <c r="A8" s="25">
        <v>4.5</v>
      </c>
      <c r="B8" s="25">
        <v>6.16</v>
      </c>
      <c r="C8" s="25">
        <v>4.96</v>
      </c>
      <c r="D8" s="25">
        <v>1.1000000000000001</v>
      </c>
      <c r="E8" s="25">
        <v>15.44</v>
      </c>
      <c r="F8" s="25">
        <v>40.68</v>
      </c>
      <c r="G8" s="25">
        <f t="shared" si="0"/>
        <v>4.1800000000000006</v>
      </c>
      <c r="H8" s="25"/>
      <c r="I8" s="25">
        <v>0.44900000000000001</v>
      </c>
      <c r="J8" s="25">
        <v>0.61599999999999999</v>
      </c>
      <c r="K8" s="25">
        <v>0.51600000000000001</v>
      </c>
      <c r="L8" s="25">
        <v>5.0999999999999997E-2</v>
      </c>
      <c r="M8" s="25">
        <v>0.72699999999999998</v>
      </c>
      <c r="N8" s="25">
        <v>23</v>
      </c>
      <c r="O8" s="25">
        <v>2.89</v>
      </c>
    </row>
    <row r="9" spans="1:15" x14ac:dyDescent="0.2">
      <c r="A9" s="25">
        <v>2.86</v>
      </c>
      <c r="B9" s="25">
        <v>2.23</v>
      </c>
      <c r="C9" s="25">
        <v>2.2000000000000002</v>
      </c>
      <c r="D9" s="25">
        <v>1.28</v>
      </c>
      <c r="E9" s="25">
        <v>12.77</v>
      </c>
      <c r="F9" s="25">
        <v>31.3</v>
      </c>
      <c r="G9" s="25">
        <f t="shared" si="0"/>
        <v>2.1425000000000001</v>
      </c>
      <c r="H9" s="25"/>
      <c r="I9" s="25">
        <v>0.28499999999999998</v>
      </c>
      <c r="J9" s="25">
        <v>0.223</v>
      </c>
      <c r="K9" s="25">
        <v>0.22900000000000001</v>
      </c>
      <c r="L9" s="25">
        <v>6.0999999999999999E-2</v>
      </c>
      <c r="M9" s="25">
        <v>0.59299999999999997</v>
      </c>
      <c r="N9" s="25">
        <v>26</v>
      </c>
      <c r="O9" s="25">
        <v>2.7</v>
      </c>
    </row>
    <row r="10" spans="1:15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5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5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5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5" x14ac:dyDescent="0.2">
      <c r="A14" s="98" t="s">
        <v>36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</row>
    <row r="15" spans="1:15" x14ac:dyDescent="0.2">
      <c r="A15" s="98" t="s">
        <v>38</v>
      </c>
      <c r="B15" s="98"/>
      <c r="C15" s="98"/>
      <c r="D15" s="98"/>
      <c r="E15" s="98"/>
      <c r="F15" s="25"/>
      <c r="G15" s="25"/>
      <c r="H15" s="25"/>
      <c r="I15" s="98" t="s">
        <v>33</v>
      </c>
      <c r="J15" s="98"/>
      <c r="K15" s="98"/>
      <c r="L15" s="98"/>
      <c r="M15" s="98"/>
    </row>
    <row r="16" spans="1:15" ht="17" thickBot="1" x14ac:dyDescent="0.25">
      <c r="A16" s="25" t="s">
        <v>23</v>
      </c>
      <c r="B16" s="48" t="s">
        <v>24</v>
      </c>
      <c r="C16" s="49" t="s">
        <v>18</v>
      </c>
      <c r="D16" s="50" t="s">
        <v>19</v>
      </c>
      <c r="E16" s="47" t="s">
        <v>31</v>
      </c>
      <c r="F16" s="52" t="s">
        <v>40</v>
      </c>
      <c r="G16" s="25"/>
      <c r="H16" s="25"/>
      <c r="I16" s="25" t="s">
        <v>23</v>
      </c>
      <c r="J16" s="48" t="s">
        <v>24</v>
      </c>
      <c r="K16" s="49" t="s">
        <v>18</v>
      </c>
      <c r="L16" s="50" t="s">
        <v>19</v>
      </c>
      <c r="M16" s="47" t="s">
        <v>31</v>
      </c>
      <c r="N16" s="52" t="s">
        <v>40</v>
      </c>
    </row>
    <row r="17" spans="1:15" x14ac:dyDescent="0.2">
      <c r="A17" s="25">
        <v>0.04</v>
      </c>
      <c r="B17" s="25">
        <v>0.1</v>
      </c>
      <c r="C17" s="25">
        <v>0.08</v>
      </c>
      <c r="D17" s="25">
        <v>0.06</v>
      </c>
      <c r="E17" s="29">
        <v>0.06</v>
      </c>
      <c r="F17" s="25">
        <v>0.34</v>
      </c>
      <c r="G17" s="25">
        <f>AVERAGE(A17:D17)</f>
        <v>7.0000000000000007E-2</v>
      </c>
      <c r="H17" s="25"/>
      <c r="I17" s="25">
        <v>29.67</v>
      </c>
      <c r="J17" s="25">
        <v>72.31</v>
      </c>
      <c r="K17" s="25">
        <v>55.38</v>
      </c>
      <c r="L17" s="25">
        <v>44.56</v>
      </c>
      <c r="M17" s="25">
        <v>29.27</v>
      </c>
      <c r="N17" s="25">
        <v>38.65</v>
      </c>
    </row>
    <row r="18" spans="1:15" x14ac:dyDescent="0.2">
      <c r="A18" s="25">
        <v>0.05</v>
      </c>
      <c r="B18" s="25">
        <v>0.06</v>
      </c>
      <c r="C18" s="25">
        <v>7.0000000000000007E-2</v>
      </c>
      <c r="D18" s="25">
        <v>0.03</v>
      </c>
      <c r="E18" s="25">
        <v>0.13</v>
      </c>
      <c r="F18" s="25">
        <v>0.22</v>
      </c>
      <c r="G18" s="25">
        <f t="shared" ref="G18:G22" si="1">AVERAGE(A18:D18)</f>
        <v>5.2499999999999998E-2</v>
      </c>
      <c r="H18" s="25"/>
      <c r="I18" s="25">
        <v>46.41</v>
      </c>
      <c r="J18" s="25">
        <v>69.489999999999995</v>
      </c>
      <c r="K18" s="25">
        <v>55.14</v>
      </c>
      <c r="L18" s="25">
        <v>42.46</v>
      </c>
      <c r="M18" s="25">
        <v>38.15</v>
      </c>
      <c r="N18" s="25">
        <v>38.65</v>
      </c>
    </row>
    <row r="19" spans="1:15" x14ac:dyDescent="0.2">
      <c r="A19" s="25">
        <v>0.06</v>
      </c>
      <c r="B19" s="25">
        <v>0.06</v>
      </c>
      <c r="C19" s="25">
        <v>7.0000000000000007E-2</v>
      </c>
      <c r="D19" s="25">
        <v>0.01</v>
      </c>
      <c r="E19" s="25">
        <v>0.1</v>
      </c>
      <c r="F19" s="25">
        <v>0.22</v>
      </c>
      <c r="G19" s="25">
        <f t="shared" si="1"/>
        <v>0.05</v>
      </c>
      <c r="H19" s="25"/>
      <c r="I19" s="25">
        <v>38.86</v>
      </c>
      <c r="J19" s="25">
        <v>42.33</v>
      </c>
      <c r="K19" s="25">
        <v>8.4600000000000009</v>
      </c>
      <c r="L19" s="25">
        <v>56.27</v>
      </c>
      <c r="M19" s="25">
        <v>36.119999999999997</v>
      </c>
      <c r="N19" s="25">
        <v>38.380000000000003</v>
      </c>
    </row>
    <row r="20" spans="1:15" x14ac:dyDescent="0.2">
      <c r="A20" s="25">
        <v>0.02</v>
      </c>
      <c r="B20" s="25">
        <v>0.08</v>
      </c>
      <c r="C20" s="25">
        <v>0.06</v>
      </c>
      <c r="D20" s="25">
        <v>0.1</v>
      </c>
      <c r="E20" s="25">
        <v>0.16</v>
      </c>
      <c r="F20" s="25">
        <v>0.25</v>
      </c>
      <c r="G20" s="25">
        <f t="shared" si="1"/>
        <v>6.5000000000000002E-2</v>
      </c>
      <c r="H20" s="25"/>
      <c r="I20" s="25">
        <v>11.55</v>
      </c>
      <c r="J20" s="25">
        <v>55.38</v>
      </c>
      <c r="K20" s="25">
        <v>69.489999999999995</v>
      </c>
      <c r="L20" s="25">
        <v>83.42</v>
      </c>
      <c r="M20" s="25">
        <v>40.122999999999998</v>
      </c>
      <c r="N20" s="25">
        <v>38.01</v>
      </c>
    </row>
    <row r="21" spans="1:15" x14ac:dyDescent="0.2">
      <c r="A21" s="25">
        <v>0.01</v>
      </c>
      <c r="B21" s="25">
        <v>7.0000000000000007E-2</v>
      </c>
      <c r="C21" s="25">
        <v>0.06</v>
      </c>
      <c r="D21" s="25">
        <v>0.02</v>
      </c>
      <c r="E21" s="25">
        <v>0.11</v>
      </c>
      <c r="F21" s="25">
        <v>0.25</v>
      </c>
      <c r="G21" s="25">
        <f t="shared" si="1"/>
        <v>0.04</v>
      </c>
      <c r="H21" s="25"/>
      <c r="I21" s="25">
        <v>3.09</v>
      </c>
      <c r="J21" s="25">
        <v>55.14</v>
      </c>
      <c r="K21" s="25">
        <v>42.33</v>
      </c>
      <c r="L21" s="25">
        <v>72.959999999999994</v>
      </c>
      <c r="M21" s="25">
        <v>35.771999999999998</v>
      </c>
      <c r="N21" s="25">
        <v>38.78</v>
      </c>
    </row>
    <row r="22" spans="1:15" x14ac:dyDescent="0.2">
      <c r="A22" s="25">
        <v>0.01</v>
      </c>
      <c r="B22" s="25">
        <v>0.02</v>
      </c>
      <c r="C22" s="25">
        <v>0.03</v>
      </c>
      <c r="D22" s="25">
        <v>0.02</v>
      </c>
      <c r="E22" s="25">
        <v>0.2</v>
      </c>
      <c r="F22" s="25">
        <v>0.18</v>
      </c>
      <c r="G22" s="25">
        <f t="shared" si="1"/>
        <v>0.02</v>
      </c>
      <c r="H22" s="25"/>
      <c r="I22" s="25">
        <v>1.75</v>
      </c>
      <c r="J22" s="25">
        <v>53.38</v>
      </c>
      <c r="K22" s="25">
        <v>39.58</v>
      </c>
      <c r="L22" s="25">
        <v>67.489999999999995</v>
      </c>
      <c r="M22" s="25">
        <v>29.780999999999999</v>
      </c>
      <c r="N22" s="25">
        <v>37.01</v>
      </c>
    </row>
    <row r="23" spans="1:15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5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5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5" x14ac:dyDescent="0.2">
      <c r="A26" s="98" t="s">
        <v>34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</row>
    <row r="27" spans="1:15" x14ac:dyDescent="0.2">
      <c r="A27" s="98" t="s">
        <v>37</v>
      </c>
      <c r="B27" s="98"/>
      <c r="C27" s="98"/>
      <c r="D27" s="98"/>
      <c r="E27" s="98"/>
      <c r="F27" s="25"/>
      <c r="G27" s="25"/>
      <c r="H27" s="25"/>
      <c r="I27" s="98" t="s">
        <v>35</v>
      </c>
      <c r="J27" s="98"/>
      <c r="K27" s="98"/>
      <c r="L27" s="98"/>
      <c r="M27" s="98"/>
    </row>
    <row r="28" spans="1:15" ht="17" thickBot="1" x14ac:dyDescent="0.25">
      <c r="A28" s="25" t="s">
        <v>23</v>
      </c>
      <c r="B28" s="48" t="s">
        <v>24</v>
      </c>
      <c r="C28" s="49" t="s">
        <v>18</v>
      </c>
      <c r="D28" s="50" t="s">
        <v>19</v>
      </c>
      <c r="E28" s="47" t="s">
        <v>31</v>
      </c>
      <c r="F28" s="52" t="s">
        <v>40</v>
      </c>
      <c r="G28" s="25"/>
      <c r="H28" s="25"/>
      <c r="I28" s="25" t="s">
        <v>23</v>
      </c>
      <c r="J28" s="48" t="s">
        <v>24</v>
      </c>
      <c r="K28" s="49" t="s">
        <v>18</v>
      </c>
      <c r="L28" s="50" t="s">
        <v>19</v>
      </c>
      <c r="M28" s="47" t="s">
        <v>31</v>
      </c>
      <c r="O28" s="52" t="s">
        <v>40</v>
      </c>
    </row>
    <row r="29" spans="1:15" x14ac:dyDescent="0.2">
      <c r="A29" s="25">
        <v>16.66</v>
      </c>
      <c r="B29" s="25">
        <v>14.13</v>
      </c>
      <c r="C29" s="25">
        <v>7.24</v>
      </c>
      <c r="D29" s="25">
        <v>5.8</v>
      </c>
      <c r="E29" s="29">
        <v>16.54</v>
      </c>
      <c r="F29" s="25">
        <v>48.3</v>
      </c>
      <c r="G29" s="25">
        <f>AVERAGE(A29:D29)</f>
        <v>10.9575</v>
      </c>
      <c r="H29" s="25"/>
      <c r="I29" s="25">
        <v>1.6659999999999999</v>
      </c>
      <c r="J29" s="25">
        <v>1.4119999999999999</v>
      </c>
      <c r="K29" s="25">
        <v>0.72399999999999998</v>
      </c>
      <c r="L29" s="25">
        <v>0.28399999999999997</v>
      </c>
      <c r="M29" s="25">
        <v>1.71</v>
      </c>
      <c r="N29" s="25">
        <v>1</v>
      </c>
    </row>
    <row r="30" spans="1:15" x14ac:dyDescent="0.2">
      <c r="A30" s="25">
        <v>6.45</v>
      </c>
      <c r="B30" s="25">
        <v>1</v>
      </c>
      <c r="C30" s="25">
        <v>7.16</v>
      </c>
      <c r="D30" s="25">
        <v>0.56999999999999995</v>
      </c>
      <c r="E30" s="25">
        <v>15.57</v>
      </c>
      <c r="F30" s="25">
        <v>35.65</v>
      </c>
      <c r="G30" s="25">
        <f t="shared" ref="G30:G34" si="2">AVERAGE(A30:D30)</f>
        <v>3.7949999999999999</v>
      </c>
      <c r="H30" s="25"/>
      <c r="I30" s="25">
        <v>0.64500000000000002</v>
      </c>
      <c r="J30" s="25">
        <v>9.8000000000000004E-2</v>
      </c>
      <c r="K30" s="25">
        <v>0.71499999999999997</v>
      </c>
      <c r="L30" s="25">
        <v>2.5000000000000001E-2</v>
      </c>
      <c r="M30" s="25">
        <v>0.7</v>
      </c>
      <c r="N30" s="25">
        <v>9</v>
      </c>
    </row>
    <row r="31" spans="1:15" x14ac:dyDescent="0.2">
      <c r="A31" s="25">
        <v>7.92</v>
      </c>
      <c r="B31" s="25">
        <v>3.04</v>
      </c>
      <c r="C31" s="25">
        <v>6.1</v>
      </c>
      <c r="D31" s="25">
        <v>0.95</v>
      </c>
      <c r="E31" s="25">
        <v>17.32</v>
      </c>
      <c r="F31" s="25">
        <v>32.590000000000003</v>
      </c>
      <c r="G31" s="25">
        <f t="shared" si="2"/>
        <v>4.5025000000000004</v>
      </c>
      <c r="H31" s="25"/>
      <c r="I31" s="25">
        <v>0.79200000000000004</v>
      </c>
      <c r="J31" s="25">
        <v>0.30299999999999999</v>
      </c>
      <c r="K31" s="25">
        <v>0.65</v>
      </c>
      <c r="L31" s="25">
        <v>4.4999999999999998E-2</v>
      </c>
      <c r="M31" s="25">
        <v>0.77800000000000002</v>
      </c>
      <c r="N31" s="25">
        <v>13</v>
      </c>
    </row>
    <row r="32" spans="1:15" x14ac:dyDescent="0.2">
      <c r="A32" s="25">
        <v>10.95</v>
      </c>
      <c r="B32" s="25">
        <v>6.67</v>
      </c>
      <c r="C32" s="25">
        <v>4</v>
      </c>
      <c r="D32" s="25">
        <v>1.1299999999999999</v>
      </c>
      <c r="E32" s="25">
        <v>15.95</v>
      </c>
      <c r="F32" s="25">
        <v>24.8</v>
      </c>
      <c r="G32" s="25">
        <f t="shared" si="2"/>
        <v>5.6874999999999991</v>
      </c>
      <c r="H32" s="25"/>
      <c r="I32" s="25">
        <v>1.095</v>
      </c>
      <c r="J32" s="25">
        <v>0.67200000000000004</v>
      </c>
      <c r="K32" s="25">
        <v>0.4</v>
      </c>
      <c r="L32" s="25">
        <v>5.3999999999999999E-2</v>
      </c>
      <c r="M32" s="25">
        <v>0.76</v>
      </c>
      <c r="N32" s="25">
        <v>19</v>
      </c>
    </row>
    <row r="33" spans="1:15" x14ac:dyDescent="0.2">
      <c r="A33" s="25">
        <v>4.41</v>
      </c>
      <c r="B33" s="25">
        <v>3.76</v>
      </c>
      <c r="C33" s="25">
        <v>3.13</v>
      </c>
      <c r="D33" s="25">
        <v>1.1499999999999999</v>
      </c>
      <c r="E33" s="25">
        <v>14.98</v>
      </c>
      <c r="F33" s="25">
        <v>22.64</v>
      </c>
      <c r="G33" s="25">
        <f t="shared" si="2"/>
        <v>3.1125000000000003</v>
      </c>
      <c r="H33" s="25"/>
      <c r="I33" s="25">
        <v>0.44</v>
      </c>
      <c r="J33" s="25">
        <v>0.376</v>
      </c>
      <c r="K33" s="25">
        <v>0.313</v>
      </c>
      <c r="L33" s="25">
        <v>5.1999999999999998E-2</v>
      </c>
      <c r="M33" s="25">
        <v>1.57</v>
      </c>
      <c r="N33" s="25">
        <v>23</v>
      </c>
      <c r="O33" s="25">
        <v>1.04</v>
      </c>
    </row>
    <row r="34" spans="1:15" x14ac:dyDescent="0.2">
      <c r="A34" s="25">
        <v>3.54</v>
      </c>
      <c r="B34" s="25">
        <v>2.4900000000000002</v>
      </c>
      <c r="C34" s="25">
        <v>1.03</v>
      </c>
      <c r="D34" s="25">
        <v>0.42</v>
      </c>
      <c r="E34" s="25">
        <v>12.37</v>
      </c>
      <c r="F34" s="25">
        <v>15.36</v>
      </c>
      <c r="G34" s="25">
        <f t="shared" si="2"/>
        <v>1.87</v>
      </c>
      <c r="H34" s="25"/>
      <c r="I34" s="25">
        <v>0.2</v>
      </c>
      <c r="J34" s="25">
        <v>0.215</v>
      </c>
      <c r="K34" s="25">
        <v>0.10199999999999999</v>
      </c>
      <c r="L34" s="25">
        <v>3.7999999999999999E-2</v>
      </c>
      <c r="M34" s="25">
        <v>1.49</v>
      </c>
      <c r="N34" s="25">
        <v>26</v>
      </c>
      <c r="O34" s="25">
        <v>0.72</v>
      </c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5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5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5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5" x14ac:dyDescent="0.2">
      <c r="A39" s="98" t="s">
        <v>34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15" x14ac:dyDescent="0.2">
      <c r="A40" s="98" t="s">
        <v>38</v>
      </c>
      <c r="B40" s="98"/>
      <c r="C40" s="98"/>
      <c r="D40" s="98"/>
      <c r="E40" s="98"/>
      <c r="F40" s="25"/>
      <c r="G40" s="25"/>
      <c r="H40" s="25"/>
      <c r="I40" s="98" t="s">
        <v>33</v>
      </c>
      <c r="J40" s="98"/>
      <c r="K40" s="98"/>
      <c r="L40" s="98"/>
      <c r="M40" s="98"/>
    </row>
    <row r="41" spans="1:15" ht="17" thickBot="1" x14ac:dyDescent="0.25">
      <c r="A41" s="25" t="s">
        <v>23</v>
      </c>
      <c r="B41" s="48" t="s">
        <v>24</v>
      </c>
      <c r="C41" s="49" t="s">
        <v>18</v>
      </c>
      <c r="D41" s="50" t="s">
        <v>19</v>
      </c>
      <c r="E41" s="47" t="s">
        <v>31</v>
      </c>
      <c r="F41" s="52" t="s">
        <v>40</v>
      </c>
      <c r="G41" s="25"/>
      <c r="H41" s="25"/>
      <c r="I41" s="25" t="s">
        <v>23</v>
      </c>
      <c r="J41" s="48" t="s">
        <v>24</v>
      </c>
      <c r="K41" s="49" t="s">
        <v>18</v>
      </c>
      <c r="L41" s="50" t="s">
        <v>19</v>
      </c>
      <c r="M41" s="47" t="s">
        <v>31</v>
      </c>
      <c r="N41" s="52" t="s">
        <v>40</v>
      </c>
    </row>
    <row r="42" spans="1:15" x14ac:dyDescent="0.2">
      <c r="A42" s="25">
        <v>0.26</v>
      </c>
      <c r="B42" s="25">
        <v>0.14000000000000001</v>
      </c>
      <c r="C42">
        <v>0.05</v>
      </c>
      <c r="D42" s="25">
        <v>0.05</v>
      </c>
      <c r="E42" s="29">
        <v>0.17</v>
      </c>
      <c r="F42" s="25">
        <v>0.38</v>
      </c>
      <c r="G42" s="25">
        <f>AVERAGE(A42:D42)</f>
        <v>0.125</v>
      </c>
      <c r="H42" s="25"/>
      <c r="I42" s="25">
        <v>78.680000000000007</v>
      </c>
      <c r="J42" s="25">
        <v>49</v>
      </c>
      <c r="K42" s="25">
        <v>38.619999999999997</v>
      </c>
      <c r="L42" s="25">
        <v>45.05</v>
      </c>
      <c r="M42" s="25">
        <v>50.9</v>
      </c>
      <c r="N42" s="25">
        <v>39.799999999999997</v>
      </c>
    </row>
    <row r="43" spans="1:15" x14ac:dyDescent="0.2">
      <c r="A43" s="25">
        <v>0.04</v>
      </c>
      <c r="B43" s="25">
        <v>0.01</v>
      </c>
      <c r="C43">
        <v>7.0000000000000007E-2</v>
      </c>
      <c r="D43" s="25">
        <v>0.01</v>
      </c>
      <c r="E43" s="25">
        <v>0.11</v>
      </c>
      <c r="F43" s="25">
        <v>0.27</v>
      </c>
      <c r="G43" s="25">
        <f t="shared" ref="G43:G47" si="3">AVERAGE(A43:D43)</f>
        <v>3.2500000000000001E-2</v>
      </c>
      <c r="H43" s="25"/>
      <c r="I43" s="25">
        <v>36.39</v>
      </c>
      <c r="J43" s="25">
        <v>70.48</v>
      </c>
      <c r="K43" s="25">
        <v>55.2</v>
      </c>
      <c r="L43" s="25">
        <v>75.12</v>
      </c>
      <c r="M43" s="25">
        <v>34.369999999999997</v>
      </c>
    </row>
    <row r="44" spans="1:15" x14ac:dyDescent="0.2">
      <c r="A44" s="25">
        <v>0.06</v>
      </c>
      <c r="B44" s="25">
        <v>0.05</v>
      </c>
      <c r="C44">
        <v>7.0000000000000007E-2</v>
      </c>
      <c r="D44" s="25">
        <v>0.01</v>
      </c>
      <c r="E44" s="25">
        <v>0.01</v>
      </c>
      <c r="F44" s="25">
        <v>0.24</v>
      </c>
      <c r="G44" s="25">
        <f t="shared" si="3"/>
        <v>4.7500000000000001E-2</v>
      </c>
      <c r="H44" s="25"/>
      <c r="I44" s="25">
        <v>32.869999999999997</v>
      </c>
      <c r="J44" s="25">
        <v>76.73</v>
      </c>
      <c r="K44" s="25">
        <v>56.23</v>
      </c>
      <c r="L44" s="25">
        <v>65.42</v>
      </c>
      <c r="M44" s="25">
        <v>3.87</v>
      </c>
    </row>
    <row r="45" spans="1:15" x14ac:dyDescent="0.2">
      <c r="A45" s="25">
        <v>0.02</v>
      </c>
      <c r="B45" s="25">
        <v>7.0000000000000007E-2</v>
      </c>
      <c r="C45">
        <v>0.03</v>
      </c>
      <c r="D45" s="25">
        <v>0.02</v>
      </c>
      <c r="E45" s="25">
        <v>0.2</v>
      </c>
      <c r="F45" s="25">
        <v>0.2</v>
      </c>
      <c r="G45" s="25">
        <f t="shared" si="3"/>
        <v>3.5000000000000003E-2</v>
      </c>
      <c r="H45" s="25"/>
      <c r="I45" s="25">
        <v>8.0299999999999994</v>
      </c>
      <c r="J45" s="25">
        <v>49.44</v>
      </c>
      <c r="K45" s="25">
        <v>46.17</v>
      </c>
      <c r="L45" s="25">
        <v>68.42</v>
      </c>
      <c r="M45" s="25">
        <v>63.09</v>
      </c>
    </row>
    <row r="46" spans="1:15" x14ac:dyDescent="0.2">
      <c r="A46" s="25">
        <v>0.03</v>
      </c>
      <c r="B46" s="25">
        <v>0.03</v>
      </c>
      <c r="C46">
        <v>0.05</v>
      </c>
      <c r="D46" s="25">
        <v>0.02</v>
      </c>
      <c r="E46" s="38">
        <v>0.19</v>
      </c>
      <c r="F46" s="25">
        <v>0.18</v>
      </c>
      <c r="G46" s="25">
        <f t="shared" si="3"/>
        <v>3.2500000000000001E-2</v>
      </c>
      <c r="H46" s="25"/>
      <c r="I46" s="25">
        <v>31.69</v>
      </c>
      <c r="J46" s="25">
        <v>46.17</v>
      </c>
      <c r="K46" s="25">
        <v>76.73</v>
      </c>
      <c r="L46" s="25">
        <v>68.27</v>
      </c>
      <c r="M46" s="38">
        <v>61.22</v>
      </c>
      <c r="N46" s="25">
        <v>39.89</v>
      </c>
    </row>
    <row r="47" spans="1:15" x14ac:dyDescent="0.2">
      <c r="A47" s="25">
        <v>0.01</v>
      </c>
      <c r="B47" s="25">
        <v>0.02</v>
      </c>
      <c r="C47">
        <v>0.03</v>
      </c>
      <c r="D47" s="25">
        <v>0.01</v>
      </c>
      <c r="E47" s="38">
        <v>0.11</v>
      </c>
      <c r="F47" s="25">
        <v>0.13</v>
      </c>
      <c r="G47" s="25">
        <f t="shared" si="3"/>
        <v>1.7499999999999998E-2</v>
      </c>
      <c r="H47" s="25"/>
      <c r="I47" s="25">
        <v>28.2</v>
      </c>
      <c r="J47" s="25">
        <v>43.68</v>
      </c>
      <c r="K47" s="25">
        <v>70.48</v>
      </c>
      <c r="L47" s="25">
        <v>55.81</v>
      </c>
      <c r="M47" s="38">
        <v>52.11</v>
      </c>
      <c r="N47" s="25">
        <v>41.56</v>
      </c>
    </row>
    <row r="48" spans="1:15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</sheetData>
  <mergeCells count="12">
    <mergeCell ref="A26:M26"/>
    <mergeCell ref="A27:E27"/>
    <mergeCell ref="I27:M27"/>
    <mergeCell ref="A39:M39"/>
    <mergeCell ref="A40:E40"/>
    <mergeCell ref="I40:M40"/>
    <mergeCell ref="I2:M2"/>
    <mergeCell ref="A1:M1"/>
    <mergeCell ref="A14:M14"/>
    <mergeCell ref="A15:E15"/>
    <mergeCell ref="I15:M15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NOTAS</vt:lpstr>
      <vt:lpstr>pH</vt:lpstr>
      <vt:lpstr>Temperatura</vt:lpstr>
      <vt:lpstr>Conductividad </vt:lpstr>
      <vt:lpstr>REDOX</vt:lpstr>
      <vt:lpstr>Alcalinidad Total</vt:lpstr>
      <vt:lpstr>Biogás</vt:lpstr>
      <vt:lpstr>Coliformes</vt:lpstr>
      <vt:lpstr>I.G.</vt:lpstr>
      <vt:lpstr>ST, 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Velázquez</dc:creator>
  <cp:lastModifiedBy>ROBERTO VALENCIA VAZQUEZ</cp:lastModifiedBy>
  <dcterms:created xsi:type="dcterms:W3CDTF">2017-02-02T00:36:00Z</dcterms:created>
  <dcterms:modified xsi:type="dcterms:W3CDTF">2024-05-23T19:25:48Z</dcterms:modified>
</cp:coreProperties>
</file>